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<sst xmlns="http://schemas.openxmlformats.org/spreadsheetml/2006/main" count="170" uniqueCount="122">
  <si>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</si>
  <si>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</si>
  <si>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</si>
  <si>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</si>
  <si>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</si>
  <si>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</si>
  <si>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</si>
  <si>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</si>
  <si>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</si>
  <si>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</si>
  <si>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</si>
  <si>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</si>
  <si>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</si>
  <si>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</si>
  <si>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</si>
  <si>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</si>
  <si>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</si>
  <si>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</si>
  <si>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</si>
  <si>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</si>
  <si>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</si>
  <si>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</si>
  <si>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</si>
  <si>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</si>
  <si>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</si>
  <si>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</si>
  <si>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</si>
  <si>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</si>
  <si>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</si>
  <si>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</si>
  <si>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</si>
  <si>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</si>
  <si>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</si>
  <si>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</si>
  <si>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</si>
  <si>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</si>
  <si>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</si>
  <si>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</si>
  <si>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</si>
  <si>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</si>
  <si>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</si>
  <si>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</si>
  <si>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</si>
  <si>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</si>
  <si>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</si>
  <si>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</si>
  <si>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</si>
  <si>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</si>
  <si>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</si>
  <si>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</si>
  <si>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</si>
  <si>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</si>
  <si>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</si>
  <si>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</si>
  <si>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</si>
  <si>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</si>
  <si>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</si>
  <si>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</si>
  <si>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</si>
  <si>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</si>
  <si>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</si>
  <si>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</si>
  <si>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</si>
  <si>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</si>
  <si>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</si>
  <si>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</si>
  <si>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</si>
  <si>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</si>
  <si>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</si>
  <si>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</si>
  <si>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</si>
  <si>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</si>
  <si>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</si>
  <si>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</si>
  <si>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</si>
  <si>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</si>
  <si>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</si>
  <si>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</si>
  <si>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</si>
  <si>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</si>
  <si>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</si>
  <si>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</si>
  <si>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</si>
  <si>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</si>
  <si>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</si>
  <si>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</si>
  <si>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</si>
  <si>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</si>
  <si>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</si>
  <si>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</si>
  <si>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</si>
  <si>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</si>
  <si>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</si>
  <si>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</si>
  <si>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</si>
  <si>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</si>
  <si>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</si>
  <si>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</si>
  <si>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</si>
  <si>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</si>
  <si>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</si>
  <si>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</si>
  <si>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</si>
  <si>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</si>
  <si>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</si>
  <si>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</si>
  <si>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</si>
  <si>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</si>
  <si>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</si>
  <si>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</si>
  <si>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</si>
  <si>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</si>
  <si>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</si>
  <si>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</si>
  <si>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</si>
  <si>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</si>
  <si>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</si>
  <si>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</si>
  <si>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</si>
  <si>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</si>
  <si>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</si>
  <si>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Аналіз використання коштів міського бюджету за 2015 рік станом на 25.09.2015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</si>
</sst>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32498.499999999993</c:v>
                </c:pt>
                <c:pt idx="1">
                  <c:v>27898.600000000006</c:v>
                </c:pt>
                <c:pt idx="2">
                  <c:v>1105.3999999999999</c:v>
                </c:pt>
                <c:pt idx="3">
                  <c:v>3494.4999999999873</c:v>
                </c:pt>
              </c:numCache>
            </c:numRef>
          </c:val>
          <c:shape val="box"/>
        </c:ser>
        <c:shape val="box"/>
        <c:axId val="2985562"/>
        <c:axId val="26870059"/>
      </c:bar3DChart>
      <c:cat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40503940"/>
        <c:axId val="28991141"/>
      </c:bar3D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91141"/>
        <c:crosses val="autoZero"/>
        <c:auto val="1"/>
        <c:lblOffset val="100"/>
        <c:tickLblSkip val="1"/>
        <c:noMultiLvlLbl val="0"/>
      </c:catAx>
      <c:valAx>
        <c:axId val="28991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39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157827.89999999994</c:v>
                </c:pt>
                <c:pt idx="1">
                  <c:v>139972.1</c:v>
                </c:pt>
                <c:pt idx="2">
                  <c:v>126205.69999999997</c:v>
                </c:pt>
                <c:pt idx="3">
                  <c:v>6742.499999999999</c:v>
                </c:pt>
                <c:pt idx="4">
                  <c:v>2298.4999999999995</c:v>
                </c:pt>
                <c:pt idx="5">
                  <c:v>14305.399999999998</c:v>
                </c:pt>
                <c:pt idx="6">
                  <c:v>985.0999999999999</c:v>
                </c:pt>
                <c:pt idx="7">
                  <c:v>7290.69999999997</c:v>
                </c:pt>
              </c:numCache>
            </c:numRef>
          </c:val>
          <c:shape val="box"/>
        </c:ser>
        <c:shape val="box"/>
        <c:axId val="59593678"/>
        <c:axId val="66581055"/>
      </c:bar3D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81055"/>
        <c:crosses val="autoZero"/>
        <c:auto val="1"/>
        <c:lblOffset val="100"/>
        <c:tickLblSkip val="1"/>
        <c:noMultiLvlLbl val="0"/>
      </c:catAx>
      <c:valAx>
        <c:axId val="66581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93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30296.399999999998</c:v>
                </c:pt>
                <c:pt idx="1">
                  <c:v>21745.600000000002</c:v>
                </c:pt>
                <c:pt idx="2">
                  <c:v>1272.9</c:v>
                </c:pt>
                <c:pt idx="3">
                  <c:v>418.5</c:v>
                </c:pt>
                <c:pt idx="4">
                  <c:v>17</c:v>
                </c:pt>
                <c:pt idx="5">
                  <c:v>6842.399999999996</c:v>
                </c:pt>
              </c:numCache>
            </c:numRef>
          </c:val>
          <c:shape val="box"/>
        </c:ser>
        <c:shape val="box"/>
        <c:axId val="62358584"/>
        <c:axId val="24356345"/>
      </c:bar3D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8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17880514"/>
        <c:axId val="26706899"/>
      </c:bar3D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06899"/>
        <c:crosses val="autoZero"/>
        <c:auto val="1"/>
        <c:lblOffset val="100"/>
        <c:tickLblSkip val="2"/>
        <c:noMultiLvlLbl val="0"/>
      </c:catAx>
      <c:valAx>
        <c:axId val="26706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05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39035500"/>
        <c:axId val="15775181"/>
      </c:bar3D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75181"/>
        <c:crosses val="autoZero"/>
        <c:auto val="1"/>
        <c:lblOffset val="100"/>
        <c:tickLblSkip val="1"/>
        <c:noMultiLvlLbl val="0"/>
      </c:catAx>
      <c:valAx>
        <c:axId val="15775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7758902"/>
        <c:axId val="2721255"/>
      </c:bar3DChart>
      <c:catAx>
        <c:axId val="775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21255"/>
        <c:crosses val="autoZero"/>
        <c:auto val="1"/>
        <c:lblOffset val="100"/>
        <c:tickLblSkip val="1"/>
        <c:noMultiLvlLbl val="0"/>
      </c:catAx>
      <c:valAx>
        <c:axId val="2721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8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157827.89999999994</c:v>
                </c:pt>
                <c:pt idx="2">
                  <c:v>30296.399999999998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32498.499999999993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24491296"/>
        <c:axId val="19095073"/>
      </c:bar3D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95073"/>
        <c:crosses val="autoZero"/>
        <c:auto val="1"/>
        <c:lblOffset val="100"/>
        <c:tickLblSkip val="1"/>
        <c:noMultiLvlLbl val="0"/>
      </c:catAx>
      <c:valAx>
        <c:axId val="19095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91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фінансування'!$C$149:$C$154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фінансування'!$D$149:$D$154</c:f>
              <c:numCache>
                <c:ptCount val="6"/>
                <c:pt idx="0">
                  <c:v>369154.89999999997</c:v>
                </c:pt>
                <c:pt idx="1">
                  <c:v>58322</c:v>
                </c:pt>
                <c:pt idx="2">
                  <c:v>14867.1</c:v>
                </c:pt>
                <c:pt idx="3">
                  <c:v>6772.2</c:v>
                </c:pt>
                <c:pt idx="4">
                  <c:v>6824.199999999999</c:v>
                </c:pt>
                <c:pt idx="5">
                  <c:v>189720.007</c:v>
                </c:pt>
              </c:numCache>
            </c:numRef>
          </c:val>
          <c:shape val="box"/>
        </c:ser>
        <c:shape val="box"/>
        <c:axId val="37637930"/>
        <c:axId val="3197051"/>
      </c:bar3D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7051"/>
        <c:crosses val="autoZero"/>
        <c:auto val="1"/>
        <c:lblOffset val="100"/>
        <c:tickLblSkip val="1"/>
        <c:noMultiLvlLbl val="0"/>
      </c:catAx>
      <c:valAx>
        <c:axId val="3197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79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4"/>
  <sheetViews>
    <sheetView tabSelected="1" view="pageBreakPreview" zoomScale="80" zoomScaleNormal="75" zoomScaleSheetLayoutView="80" zoomScalePageLayoutView="0" workbookViewId="0" topLeftCell="A1">
      <pane xSplit="1" ySplit="5" topLeftCell="B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3" sqref="B9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121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115</v>
      </c>
      <c r="C3" s="138" t="s">
        <v>102</v>
      </c>
      <c r="D3" s="138" t="s">
        <v>28</v>
      </c>
      <c r="E3" s="138" t="s">
        <v>27</v>
      </c>
      <c r="F3" s="138" t="s">
        <v>116</v>
      </c>
      <c r="G3" s="138" t="s">
        <v>103</v>
      </c>
      <c r="H3" s="138" t="s">
        <v>117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264426.2+164+99.1</f>
        <v>264689.3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</f>
        <v>234228.3</v>
      </c>
      <c r="E6" s="3">
        <f>D6/D148*100</f>
        <v>35.72895849839551</v>
      </c>
      <c r="F6" s="3">
        <f>D6/B6*100</f>
        <v>88.49179018570075</v>
      </c>
      <c r="G6" s="3">
        <f aca="true" t="shared" si="0" ref="G6:G43">D6/C6*100</f>
        <v>64.49212393547162</v>
      </c>
      <c r="H6" s="3">
        <f>B6-D6</f>
        <v>30461</v>
      </c>
      <c r="I6" s="3">
        <f aca="true" t="shared" si="1" ref="I6:I43">C6-D6</f>
        <v>128960.69999999995</v>
      </c>
    </row>
    <row r="7" spans="1:9" s="44" customFormat="1" ht="18.75">
      <c r="A7" s="117" t="s">
        <v>105</v>
      </c>
      <c r="B7" s="109">
        <v>132170</v>
      </c>
      <c r="C7" s="106">
        <v>173936.4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</f>
        <v>118486.80000000002</v>
      </c>
      <c r="E7" s="107">
        <f>D7/D6*100</f>
        <v>50.586030808403606</v>
      </c>
      <c r="F7" s="107">
        <f>D7/B7*100</f>
        <v>89.64727245214497</v>
      </c>
      <c r="G7" s="107">
        <f>D7/C7*100</f>
        <v>68.12076138174645</v>
      </c>
      <c r="H7" s="107">
        <f>B7-D7</f>
        <v>13683.199999999983</v>
      </c>
      <c r="I7" s="107">
        <f t="shared" si="1"/>
        <v>55449.59999999998</v>
      </c>
    </row>
    <row r="8" spans="1:9" ht="18">
      <c r="A8" s="29" t="s">
        <v>3</v>
      </c>
      <c r="B8" s="49">
        <f>200229.4+21.4+50.9</f>
        <v>200301.69999999998</v>
      </c>
      <c r="C8" s="50">
        <f>251964.7+23254.2+21.4+203.6</f>
        <v>275443.9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</f>
        <v>181280.19999999995</v>
      </c>
      <c r="E8" s="1">
        <f>D8/D6*100</f>
        <v>77.39466153321352</v>
      </c>
      <c r="F8" s="1">
        <f>D8/B8*100</f>
        <v>90.5035753565746</v>
      </c>
      <c r="G8" s="1">
        <f t="shared" si="0"/>
        <v>65.81383722783475</v>
      </c>
      <c r="H8" s="1">
        <f>B8-D8</f>
        <v>19021.50000000003</v>
      </c>
      <c r="I8" s="1">
        <f t="shared" si="1"/>
        <v>94163.70000000007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0.3+0.2+0.7+0.8+2+0.3+3.5+1.2+0.3+0.4+0.8+0.2+2.9+0.6+1.3</f>
        <v>15.500000000000002</v>
      </c>
      <c r="E9" s="12">
        <f>D9/D6*100</f>
        <v>0.006617475343500339</v>
      </c>
      <c r="F9" s="135">
        <f>D9/B9*100</f>
        <v>43.175487465181064</v>
      </c>
      <c r="G9" s="1">
        <f t="shared" si="0"/>
        <v>34.29203539823009</v>
      </c>
      <c r="H9" s="1">
        <f aca="true" t="shared" si="2" ref="H9:H43">B9-D9</f>
        <v>20.4</v>
      </c>
      <c r="I9" s="1">
        <f t="shared" si="1"/>
        <v>29.700000000000003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+356.6+447.8+265.2+233.6+277+228</f>
        <v>12616.099999999999</v>
      </c>
      <c r="E10" s="1">
        <f>D10/D6*100</f>
        <v>5.386240689105458</v>
      </c>
      <c r="F10" s="1">
        <f aca="true" t="shared" si="3" ref="F10:F41">D10/B10*100</f>
        <v>82.2447635872931</v>
      </c>
      <c r="G10" s="1">
        <f t="shared" si="0"/>
        <v>57.061638383326695</v>
      </c>
      <c r="H10" s="1">
        <f t="shared" si="2"/>
        <v>2723.600000000002</v>
      </c>
      <c r="I10" s="1">
        <f t="shared" si="1"/>
        <v>9493.5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+141.4+64.6+0.2+86+1.3+61.6</f>
        <v>37510.8</v>
      </c>
      <c r="E11" s="1">
        <f>D11/D6*100</f>
        <v>16.014631878385323</v>
      </c>
      <c r="F11" s="1">
        <f t="shared" si="3"/>
        <v>83.03846562533207</v>
      </c>
      <c r="G11" s="1">
        <f t="shared" si="0"/>
        <v>61.086638254630266</v>
      </c>
      <c r="H11" s="1">
        <f t="shared" si="2"/>
        <v>7662</v>
      </c>
      <c r="I11" s="1">
        <f t="shared" si="1"/>
        <v>23895.09999999999</v>
      </c>
    </row>
    <row r="12" spans="1:9" ht="18">
      <c r="A12" s="29" t="s">
        <v>15</v>
      </c>
      <c r="B12" s="49">
        <f>248.6-21.4</f>
        <v>227.2</v>
      </c>
      <c r="C12" s="50">
        <f>286.2+9.9-21.4</f>
        <v>274.7</v>
      </c>
      <c r="D12" s="51">
        <f>3.8+3.8+12.7+7.4+5+16.3+3.8+110.9+3.8+1.2+5.4+9.9+1.2+1.2+9.1+1.2</f>
        <v>196.69999999999996</v>
      </c>
      <c r="E12" s="1">
        <f>D12/D6*100</f>
        <v>0.08397789677848491</v>
      </c>
      <c r="F12" s="1">
        <f t="shared" si="3"/>
        <v>86.5757042253521</v>
      </c>
      <c r="G12" s="1">
        <f t="shared" si="0"/>
        <v>71.60538769566799</v>
      </c>
      <c r="H12" s="1">
        <f t="shared" si="2"/>
        <v>30.50000000000003</v>
      </c>
      <c r="I12" s="1">
        <f t="shared" si="1"/>
        <v>78.00000000000003</v>
      </c>
    </row>
    <row r="13" spans="1:9" ht="18.75" thickBot="1">
      <c r="A13" s="29" t="s">
        <v>34</v>
      </c>
      <c r="B13" s="50">
        <f>B6-B8-B9-B10-B11-B12</f>
        <v>3611.9999999999973</v>
      </c>
      <c r="C13" s="50">
        <f>C6-C8-C9-C10-C11-C12</f>
        <v>3909.699999999936</v>
      </c>
      <c r="D13" s="50">
        <f>D6-D8-D9-D10-D11-D12</f>
        <v>2609.0000000000337</v>
      </c>
      <c r="E13" s="1">
        <f>D13/D6*100</f>
        <v>1.1138705271737164</v>
      </c>
      <c r="F13" s="1">
        <f t="shared" si="3"/>
        <v>72.2314507198238</v>
      </c>
      <c r="G13" s="1">
        <f t="shared" si="0"/>
        <v>66.73146277208166</v>
      </c>
      <c r="H13" s="1">
        <f t="shared" si="2"/>
        <v>1002.9999999999636</v>
      </c>
      <c r="I13" s="1">
        <f t="shared" si="1"/>
        <v>1300.6999999999025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175932.3+229.6</f>
        <v>176161.9</v>
      </c>
      <c r="C18" s="53">
        <f>225678.2+490.7+518-0.1+17926+229.6</f>
        <v>244842.40000000002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</f>
        <v>159615.19999999992</v>
      </c>
      <c r="E18" s="3">
        <f>D18/D148*100</f>
        <v>24.34754833857863</v>
      </c>
      <c r="F18" s="3">
        <f>D18/B18*100</f>
        <v>90.60710630391698</v>
      </c>
      <c r="G18" s="3">
        <f t="shared" si="0"/>
        <v>65.19099633070086</v>
      </c>
      <c r="H18" s="3">
        <f>B18-D18</f>
        <v>16546.70000000007</v>
      </c>
      <c r="I18" s="3">
        <f t="shared" si="1"/>
        <v>85227.2000000001</v>
      </c>
    </row>
    <row r="19" spans="1:9" s="44" customFormat="1" ht="18.75">
      <c r="A19" s="117" t="s">
        <v>106</v>
      </c>
      <c r="B19" s="109">
        <v>151067.9</v>
      </c>
      <c r="C19" s="106">
        <v>186519.2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</f>
        <v>141089.5</v>
      </c>
      <c r="E19" s="107">
        <f>D19/D18*100</f>
        <v>88.39352392503976</v>
      </c>
      <c r="F19" s="107">
        <f t="shared" si="3"/>
        <v>93.39475825109108</v>
      </c>
      <c r="G19" s="107">
        <f t="shared" si="0"/>
        <v>75.6434190153078</v>
      </c>
      <c r="H19" s="107">
        <f t="shared" si="2"/>
        <v>9978.399999999994</v>
      </c>
      <c r="I19" s="107">
        <f t="shared" si="1"/>
        <v>45429.70000000001</v>
      </c>
    </row>
    <row r="20" spans="1:9" ht="18">
      <c r="A20" s="29" t="s">
        <v>5</v>
      </c>
      <c r="B20" s="49">
        <v>139358.4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</f>
        <v>126205.69999999997</v>
      </c>
      <c r="E20" s="1">
        <f>D20/D18*100</f>
        <v>79.06872277828178</v>
      </c>
      <c r="F20" s="1">
        <f t="shared" si="3"/>
        <v>90.5619611017348</v>
      </c>
      <c r="G20" s="1">
        <f t="shared" si="0"/>
        <v>66.11952004216369</v>
      </c>
      <c r="H20" s="1">
        <f t="shared" si="2"/>
        <v>13152.700000000026</v>
      </c>
      <c r="I20" s="1">
        <f t="shared" si="1"/>
        <v>64669.40000000004</v>
      </c>
    </row>
    <row r="21" spans="1:9" ht="18">
      <c r="A21" s="29" t="s">
        <v>2</v>
      </c>
      <c r="B21" s="49">
        <f>9524.9+172.1</f>
        <v>9697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+132.1+76.2+180.9+249.3+128.5+183+523.2</f>
        <v>7826.499999999999</v>
      </c>
      <c r="E21" s="1">
        <f>D21/D18*100</f>
        <v>4.9033550689408045</v>
      </c>
      <c r="F21" s="1">
        <f t="shared" si="3"/>
        <v>80.71052902959678</v>
      </c>
      <c r="G21" s="1">
        <f t="shared" si="0"/>
        <v>59.42943490212158</v>
      </c>
      <c r="H21" s="1">
        <f t="shared" si="2"/>
        <v>1870.500000000001</v>
      </c>
      <c r="I21" s="1">
        <f t="shared" si="1"/>
        <v>5342.900000000001</v>
      </c>
    </row>
    <row r="22" spans="1:9" ht="18">
      <c r="A22" s="29" t="s">
        <v>1</v>
      </c>
      <c r="B22" s="49">
        <v>2450.6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</f>
        <v>2446.5999999999995</v>
      </c>
      <c r="E22" s="1">
        <f>D22/D18*100</f>
        <v>1.5328114114445246</v>
      </c>
      <c r="F22" s="1">
        <f t="shared" si="3"/>
        <v>99.83677466742836</v>
      </c>
      <c r="G22" s="1">
        <f t="shared" si="0"/>
        <v>75.20363938155103</v>
      </c>
      <c r="H22" s="1">
        <f t="shared" si="2"/>
        <v>4.000000000000455</v>
      </c>
      <c r="I22" s="1">
        <f t="shared" si="1"/>
        <v>806.7000000000007</v>
      </c>
    </row>
    <row r="23" spans="1:9" ht="18">
      <c r="A23" s="29" t="s">
        <v>0</v>
      </c>
      <c r="B23" s="49">
        <v>15199.7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</f>
        <v>14657.999999999998</v>
      </c>
      <c r="E23" s="1">
        <f>D23/D18*100</f>
        <v>9.183335922894564</v>
      </c>
      <c r="F23" s="1">
        <f t="shared" si="3"/>
        <v>96.43611387066848</v>
      </c>
      <c r="G23" s="1">
        <f t="shared" si="0"/>
        <v>57.206416110525694</v>
      </c>
      <c r="H23" s="1">
        <f t="shared" si="2"/>
        <v>541.7000000000025</v>
      </c>
      <c r="I23" s="1">
        <f t="shared" si="1"/>
        <v>10965.000000000002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111+58.1+166.1+55.7+24.9+10.1-0.1+89.8+44.2+0.1+106.9+106.7+78.8+27.8+48.4+56.6+13.9</f>
        <v>998.9999999999999</v>
      </c>
      <c r="E24" s="1">
        <f>D24/D18*100</f>
        <v>0.6258802419819669</v>
      </c>
      <c r="F24" s="1">
        <f t="shared" si="3"/>
        <v>96.3820549927641</v>
      </c>
      <c r="G24" s="1">
        <f t="shared" si="0"/>
        <v>65.37530266343825</v>
      </c>
      <c r="H24" s="1">
        <f t="shared" si="2"/>
        <v>37.500000000000114</v>
      </c>
      <c r="I24" s="1">
        <f t="shared" si="1"/>
        <v>529.1</v>
      </c>
    </row>
    <row r="25" spans="1:9" ht="18.75" thickBot="1">
      <c r="A25" s="29" t="s">
        <v>34</v>
      </c>
      <c r="B25" s="50">
        <f>B18-B20-B21-B22-B23-B24</f>
        <v>8419.7</v>
      </c>
      <c r="C25" s="50">
        <f>C18-C20-C21-C22-C23-C24</f>
        <v>10393.500000000013</v>
      </c>
      <c r="D25" s="50">
        <f>D18-D20-D21-D22-D23-D24</f>
        <v>7479.39999999996</v>
      </c>
      <c r="E25" s="1">
        <f>D25/D18*100</f>
        <v>4.685894576456354</v>
      </c>
      <c r="F25" s="1">
        <f t="shared" si="3"/>
        <v>88.83214366307539</v>
      </c>
      <c r="G25" s="1">
        <f t="shared" si="0"/>
        <v>71.96228411988214</v>
      </c>
      <c r="H25" s="1">
        <f t="shared" si="2"/>
        <v>940.3000000000411</v>
      </c>
      <c r="I25" s="1">
        <f t="shared" si="1"/>
        <v>2914.100000000053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33729.2+99.9</f>
        <v>33829.1</v>
      </c>
      <c r="C33" s="53">
        <f>41831.7+164.1+250.5+5+2544.6+99.9</f>
        <v>44895.799999999996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</f>
        <v>31937.699999999997</v>
      </c>
      <c r="E33" s="3">
        <f>D33/D148*100</f>
        <v>4.871745889946715</v>
      </c>
      <c r="F33" s="3">
        <f>D33/B33*100</f>
        <v>94.40895560331194</v>
      </c>
      <c r="G33" s="3">
        <f t="shared" si="0"/>
        <v>71.13738924353726</v>
      </c>
      <c r="H33" s="3">
        <f t="shared" si="2"/>
        <v>1891.4000000000015</v>
      </c>
      <c r="I33" s="3">
        <f t="shared" si="1"/>
        <v>12958.099999999999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</f>
        <v>23336.500000000004</v>
      </c>
      <c r="E34" s="1">
        <f>D34/D33*100</f>
        <v>73.06881835573634</v>
      </c>
      <c r="F34" s="1">
        <f t="shared" si="3"/>
        <v>95.53215790141601</v>
      </c>
      <c r="G34" s="1">
        <f t="shared" si="0"/>
        <v>72.53893257903081</v>
      </c>
      <c r="H34" s="1">
        <f t="shared" si="2"/>
        <v>1091.3999999999978</v>
      </c>
      <c r="I34" s="1">
        <f t="shared" si="1"/>
        <v>8834.499999999996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</f>
        <v>1280.2000000000003</v>
      </c>
      <c r="E36" s="1">
        <f>D36/D33*100</f>
        <v>4.008428910034224</v>
      </c>
      <c r="F36" s="1">
        <f t="shared" si="3"/>
        <v>76.85657681455245</v>
      </c>
      <c r="G36" s="1">
        <f t="shared" si="0"/>
        <v>47.87584143605087</v>
      </c>
      <c r="H36" s="1">
        <f t="shared" si="2"/>
        <v>385.4999999999998</v>
      </c>
      <c r="I36" s="1">
        <f t="shared" si="1"/>
        <v>1393.7999999999997</v>
      </c>
    </row>
    <row r="37" spans="1:9" s="44" customFormat="1" ht="18.75">
      <c r="A37" s="23" t="s">
        <v>7</v>
      </c>
      <c r="B37" s="58">
        <f>477.3+99.9</f>
        <v>577.2</v>
      </c>
      <c r="C37" s="59">
        <f>493.5+22+99.9</f>
        <v>615.4</v>
      </c>
      <c r="D37" s="60">
        <f>19+12.3+0.1+11.9+3.2+10.7+22.4+14.8+37.3+30.8+8.3+7.2+2+25.1+13.4+51+75.3+5+2.8+24.5+38+3.4</f>
        <v>418.5</v>
      </c>
      <c r="E37" s="19">
        <f>D37/D33*100</f>
        <v>1.3103636141613204</v>
      </c>
      <c r="F37" s="19">
        <f t="shared" si="3"/>
        <v>72.5051975051975</v>
      </c>
      <c r="G37" s="19">
        <f t="shared" si="0"/>
        <v>68.00454988625285</v>
      </c>
      <c r="H37" s="19">
        <f t="shared" si="2"/>
        <v>158.70000000000005</v>
      </c>
      <c r="I37" s="19">
        <f t="shared" si="1"/>
        <v>196.89999999999998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0.05322862948803453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7121.299999999997</v>
      </c>
      <c r="C39" s="49">
        <f>C33-C34-C36-C37-C35-C38</f>
        <v>9388.199999999995</v>
      </c>
      <c r="D39" s="49">
        <f>D33-D34-D36-D37-D35-D38</f>
        <v>6885.499999999993</v>
      </c>
      <c r="E39" s="1">
        <f>D39/D33*100</f>
        <v>21.559160490580076</v>
      </c>
      <c r="F39" s="1">
        <f t="shared" si="3"/>
        <v>96.68880681897961</v>
      </c>
      <c r="G39" s="1">
        <f t="shared" si="0"/>
        <v>73.34206770200886</v>
      </c>
      <c r="H39" s="1">
        <f>B39-D39</f>
        <v>235.80000000000473</v>
      </c>
      <c r="I39" s="1">
        <f t="shared" si="1"/>
        <v>2502.7000000000025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622.6+3</f>
        <v>625.6</v>
      </c>
      <c r="C43" s="53">
        <f>768.4+32.5+15+3+3</f>
        <v>821.9</v>
      </c>
      <c r="D43" s="54">
        <f>17.7+12.2+11.2+51.1+0.8+30+0.1+18.9+27.3+43.7+9+5.4+5.6+7.8+24.4+6.4-0.1+26.1+70.2+6+6+27.3+26.1+5.1+3+1+25.2+2+11+3.6+29+1+5+4.7</f>
        <v>523.8000000000001</v>
      </c>
      <c r="E43" s="3">
        <f>D43/D148*100</f>
        <v>0.07989994574293359</v>
      </c>
      <c r="F43" s="3">
        <f>D43/B43*100</f>
        <v>83.72762148337597</v>
      </c>
      <c r="G43" s="3">
        <f t="shared" si="0"/>
        <v>63.73038082491789</v>
      </c>
      <c r="H43" s="3">
        <f t="shared" si="2"/>
        <v>101.79999999999995</v>
      </c>
      <c r="I43" s="3">
        <f t="shared" si="1"/>
        <v>298.0999999999999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5324.1+17.8</f>
        <v>5341.900000000001</v>
      </c>
      <c r="C45" s="53">
        <f>6659.3+87.1+1.5+764.6+17.8</f>
        <v>7530.300000000001</v>
      </c>
      <c r="D45" s="54">
        <f>193+223+8.7+101.1+200.9+9+241+299.2+7.6+43.6+283.1+0.8+48.7+276.1+3.4+2.2+253.5+5+282+1.9+4.8+3.2+261.3+0.5+265.1+0.7+6.9+276.6+1.6+124.9+209.3+1.9+2.9+4.7+268.2+52.2+128+106.4+2.5+2.2+206.7+137.5+253.2+11.2+1.2</f>
        <v>4817.499999999998</v>
      </c>
      <c r="E45" s="3">
        <f>D45/D148*100</f>
        <v>0.7348567938460907</v>
      </c>
      <c r="F45" s="3">
        <f>D45/B45*100</f>
        <v>90.18326812557326</v>
      </c>
      <c r="G45" s="3">
        <f aca="true" t="shared" si="4" ref="G45:G75">D45/C45*100</f>
        <v>63.97487483898381</v>
      </c>
      <c r="H45" s="3">
        <f>B45-D45</f>
        <v>524.4000000000024</v>
      </c>
      <c r="I45" s="3">
        <f aca="true" t="shared" si="5" ref="I45:I76">C45-D45</f>
        <v>2712.800000000003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193+222.7+1.6+196.4+240.9+0.1+199.7+265.9+214+253.1+238.6+255.9+243.9+273.5+83.6+206+267.9+52.2+106.2+102.2+205.5+137.5+232.3</f>
        <v>4192.7</v>
      </c>
      <c r="E46" s="1">
        <f>D46/D45*100</f>
        <v>87.03061754021797</v>
      </c>
      <c r="F46" s="1">
        <f aca="true" t="shared" si="6" ref="F46:F73">D46/B46*100</f>
        <v>90.18692593946955</v>
      </c>
      <c r="G46" s="1">
        <f t="shared" si="4"/>
        <v>64.30028372057357</v>
      </c>
      <c r="H46" s="1">
        <f aca="true" t="shared" si="7" ref="H46:H73">B46-D46</f>
        <v>456.1999999999998</v>
      </c>
      <c r="I46" s="1">
        <f t="shared" si="5"/>
        <v>2327.8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0.020757654385054496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0.6995329527763365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4.7+90.3+4.8+67.1+3.1+1.1+45.6+36.3+2.7+2+0.1+34.4+3.4+0.5+2.5+1.1+0.5+0.5+1.4+1.1+0.5+1.9+0.9+0.4+1.5+1.2</f>
        <v>309.59999999999985</v>
      </c>
      <c r="E49" s="1">
        <f>D49/D45*100</f>
        <v>6.426569797612869</v>
      </c>
      <c r="F49" s="1">
        <f t="shared" si="6"/>
        <v>95.79207920792075</v>
      </c>
      <c r="G49" s="1">
        <f t="shared" si="4"/>
        <v>57.51439717629573</v>
      </c>
      <c r="H49" s="1">
        <f t="shared" si="7"/>
        <v>13.600000000000136</v>
      </c>
      <c r="I49" s="1">
        <f t="shared" si="5"/>
        <v>228.7000000000001</v>
      </c>
    </row>
    <row r="50" spans="1:9" ht="18.75" thickBot="1">
      <c r="A50" s="29" t="s">
        <v>34</v>
      </c>
      <c r="B50" s="50">
        <f>B45-B46-B49-B48-B47</f>
        <v>327.3000000000009</v>
      </c>
      <c r="C50" s="50">
        <f>C45-C46-C49-C48-C47</f>
        <v>410.10000000000116</v>
      </c>
      <c r="D50" s="50">
        <f>D45-D46-D49-D48-D47</f>
        <v>280.4999999999985</v>
      </c>
      <c r="E50" s="1">
        <f>D50/D45*100</f>
        <v>5.822522055007755</v>
      </c>
      <c r="F50" s="1">
        <f t="shared" si="6"/>
        <v>85.7011915673687</v>
      </c>
      <c r="G50" s="1">
        <f t="shared" si="4"/>
        <v>68.39795171909235</v>
      </c>
      <c r="H50" s="1">
        <f t="shared" si="7"/>
        <v>46.8000000000024</v>
      </c>
      <c r="I50" s="1">
        <f t="shared" si="5"/>
        <v>129.60000000000264</v>
      </c>
    </row>
    <row r="51" spans="1:9" ht="18.75" thickBot="1">
      <c r="A51" s="28" t="s">
        <v>4</v>
      </c>
      <c r="B51" s="52">
        <f>10803.3+12.5+26.8</f>
        <v>10842.599999999999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</f>
        <v>9266.300000000003</v>
      </c>
      <c r="E51" s="3">
        <f>D51/D148*100</f>
        <v>1.413472446043806</v>
      </c>
      <c r="F51" s="3">
        <f>D51/B51*100</f>
        <v>85.46197406526113</v>
      </c>
      <c r="G51" s="3">
        <f t="shared" si="4"/>
        <v>61.53616278065919</v>
      </c>
      <c r="H51" s="3">
        <f>B51-D51</f>
        <v>1576.2999999999956</v>
      </c>
      <c r="I51" s="3">
        <f t="shared" si="5"/>
        <v>5791.999999999998</v>
      </c>
    </row>
    <row r="52" spans="1:9" ht="18">
      <c r="A52" s="29" t="s">
        <v>3</v>
      </c>
      <c r="B52" s="49">
        <f>6690.7+16.9</f>
        <v>6707.599999999999</v>
      </c>
      <c r="C52" s="50">
        <f>8729.1+639.9+67.5</f>
        <v>9436.5</v>
      </c>
      <c r="D52" s="51">
        <f>260.4+390.2+0.1+271.7+395.7-0.1+282.9+391.4+0.1+7.8+263.9+397.2+272.6+486-0.1+358+766.6-0.1+295.1+13.6+394.1+219.2+320.5+285</f>
        <v>6071.8</v>
      </c>
      <c r="E52" s="1">
        <f>D52/D51*100</f>
        <v>65.52561432286888</v>
      </c>
      <c r="F52" s="1">
        <f t="shared" si="6"/>
        <v>90.52119983302524</v>
      </c>
      <c r="G52" s="1">
        <f t="shared" si="4"/>
        <v>64.34377152545966</v>
      </c>
      <c r="H52" s="1">
        <f t="shared" si="7"/>
        <v>635.7999999999993</v>
      </c>
      <c r="I52" s="1">
        <f t="shared" si="5"/>
        <v>3364.7</v>
      </c>
    </row>
    <row r="53" spans="1:9" ht="18">
      <c r="A53" s="29" t="s">
        <v>2</v>
      </c>
      <c r="B53" s="49">
        <v>4.3</v>
      </c>
      <c r="C53" s="50">
        <v>10.9</v>
      </c>
      <c r="D53" s="51">
        <f>1.4</f>
        <v>1.4</v>
      </c>
      <c r="E53" s="1">
        <f>D53/D51*100</f>
        <v>0.015108511487864622</v>
      </c>
      <c r="F53" s="1">
        <f t="shared" si="6"/>
        <v>32.558139534883715</v>
      </c>
      <c r="G53" s="1">
        <f t="shared" si="4"/>
        <v>12.844036697247704</v>
      </c>
      <c r="H53" s="1">
        <f t="shared" si="7"/>
        <v>2.9</v>
      </c>
      <c r="I53" s="1">
        <f t="shared" si="5"/>
        <v>9.5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1.7+1.5+4.6+9.7+8-0.1+0.1+5.9+12.1+0.1+17.6+12.8+4+10.7+8.4+14.1+1.9+4.9+0.7+2.4+2.3+3.8+1+1.4</f>
        <v>129.60000000000002</v>
      </c>
      <c r="E54" s="1">
        <f>D54/D51*100</f>
        <v>1.3986164920194681</v>
      </c>
      <c r="F54" s="1">
        <f t="shared" si="6"/>
        <v>69.63997850617949</v>
      </c>
      <c r="G54" s="1">
        <f t="shared" si="4"/>
        <v>49.146757679180894</v>
      </c>
      <c r="H54" s="1">
        <f t="shared" si="7"/>
        <v>56.49999999999997</v>
      </c>
      <c r="I54" s="1">
        <f t="shared" si="5"/>
        <v>134.09999999999997</v>
      </c>
    </row>
    <row r="55" spans="1:9" ht="18">
      <c r="A55" s="29" t="s">
        <v>0</v>
      </c>
      <c r="B55" s="49">
        <f>444.5+0.2</f>
        <v>444.7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</f>
        <v>417.8000000000001</v>
      </c>
      <c r="E55" s="1">
        <f>D55/D51*100</f>
        <v>4.508811499735601</v>
      </c>
      <c r="F55" s="1">
        <f t="shared" si="6"/>
        <v>93.95097818754219</v>
      </c>
      <c r="G55" s="1">
        <f t="shared" si="4"/>
        <v>58.80365939479242</v>
      </c>
      <c r="H55" s="1">
        <f t="shared" si="7"/>
        <v>26.899999999999864</v>
      </c>
      <c r="I55" s="1">
        <f t="shared" si="5"/>
        <v>292.6999999999999</v>
      </c>
    </row>
    <row r="56" spans="1:9" ht="18.75" thickBot="1">
      <c r="A56" s="29" t="s">
        <v>34</v>
      </c>
      <c r="B56" s="50">
        <f>B51-B52-B55-B54-B53</f>
        <v>3499.899999999999</v>
      </c>
      <c r="C56" s="50">
        <f>C51-C52-C55-C54-C53</f>
        <v>4636.700000000002</v>
      </c>
      <c r="D56" s="50">
        <f>D51-D52-D55-D54-D53</f>
        <v>2645.7000000000025</v>
      </c>
      <c r="E56" s="1">
        <f>D56/D51*100</f>
        <v>28.551849173888193</v>
      </c>
      <c r="F56" s="1">
        <f t="shared" si="6"/>
        <v>75.59358838823975</v>
      </c>
      <c r="G56" s="1">
        <f t="shared" si="4"/>
        <v>57.059978001596</v>
      </c>
      <c r="H56" s="1">
        <f t="shared" si="7"/>
        <v>854.1999999999966</v>
      </c>
      <c r="I56" s="1">
        <f>C56-D56</f>
        <v>1990.999999999999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4034.9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</f>
        <v>3226.7999999999993</v>
      </c>
      <c r="E58" s="3">
        <f>D58/D148*100</f>
        <v>0.49221295327090114</v>
      </c>
      <c r="F58" s="3">
        <f>D58/B58*100</f>
        <v>79.9722421869191</v>
      </c>
      <c r="G58" s="3">
        <f t="shared" si="4"/>
        <v>57.34494401990402</v>
      </c>
      <c r="H58" s="3">
        <f>B58-D58</f>
        <v>808.1000000000008</v>
      </c>
      <c r="I58" s="3">
        <f t="shared" si="5"/>
        <v>2400.2000000000007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36.1+65.6+39.2+69.1+1.8+43+66+41.2+71.4+46.8+1.2+82.5+0.1+44.9+89.3+53.8+64.9+50.3+105.6+56.7+78.9</f>
        <v>1108.3999999999999</v>
      </c>
      <c r="E59" s="1">
        <f>D59/D58*100</f>
        <v>34.34982025536135</v>
      </c>
      <c r="F59" s="1">
        <f t="shared" si="6"/>
        <v>95.89894445405778</v>
      </c>
      <c r="G59" s="1">
        <f t="shared" si="4"/>
        <v>70.72034709372807</v>
      </c>
      <c r="H59" s="1">
        <f t="shared" si="7"/>
        <v>47.40000000000009</v>
      </c>
      <c r="I59" s="1">
        <f t="shared" si="5"/>
        <v>458.9000000000001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9.182471798686006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1.3+56.1+4.9+63.5+3.5+0.7+63-0.1+10.3+25.7+2.8+0.3+7.3+0.2+1+0.1+0.3+1+0.2+2.3</f>
        <v>244.40000000000003</v>
      </c>
      <c r="E61" s="1">
        <f>D61/D58*100</f>
        <v>7.574067187306312</v>
      </c>
      <c r="F61" s="1">
        <f t="shared" si="6"/>
        <v>82.3727671048197</v>
      </c>
      <c r="G61" s="1">
        <f t="shared" si="4"/>
        <v>52.58175559380379</v>
      </c>
      <c r="H61" s="1">
        <f t="shared" si="7"/>
        <v>52.299999999999955</v>
      </c>
      <c r="I61" s="1">
        <f t="shared" si="5"/>
        <v>220.39999999999998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367.2+308.5+129.4+168.2+474.6</f>
        <v>1447.9</v>
      </c>
      <c r="E62" s="1">
        <f>D62/D58*100</f>
        <v>44.871079707450114</v>
      </c>
      <c r="F62" s="1">
        <f>D62/B62*100</f>
        <v>69.28745752978897</v>
      </c>
      <c r="G62" s="1">
        <f t="shared" si="4"/>
        <v>46.862154901770396</v>
      </c>
      <c r="H62" s="1">
        <f t="shared" si="7"/>
        <v>641.8000000000002</v>
      </c>
      <c r="I62" s="1">
        <f t="shared" si="5"/>
        <v>1641.8000000000002</v>
      </c>
    </row>
    <row r="63" spans="1:9" ht="18.75" thickBot="1">
      <c r="A63" s="29" t="s">
        <v>34</v>
      </c>
      <c r="B63" s="50">
        <f>B58-B59-B61-B62-B60</f>
        <v>192.8000000000003</v>
      </c>
      <c r="C63" s="50">
        <f>C58-C59-C61-C62-C60</f>
        <v>205.2999999999994</v>
      </c>
      <c r="D63" s="50">
        <f>D58-D59-D61-D62-D60</f>
        <v>129.79999999999944</v>
      </c>
      <c r="E63" s="1">
        <f>D63/D58*100</f>
        <v>4.022561051196216</v>
      </c>
      <c r="F63" s="1">
        <f t="shared" si="6"/>
        <v>67.32365145228177</v>
      </c>
      <c r="G63" s="1">
        <f t="shared" si="4"/>
        <v>63.22454943984405</v>
      </c>
      <c r="H63" s="1">
        <f t="shared" si="7"/>
        <v>63.00000000000085</v>
      </c>
      <c r="I63" s="1">
        <f t="shared" si="5"/>
        <v>75.49999999999994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337.8</v>
      </c>
      <c r="C68" s="53">
        <f>C69+C70</f>
        <v>391.90000000000003</v>
      </c>
      <c r="D68" s="54">
        <f>SUM(D69:D70)</f>
        <v>249.2</v>
      </c>
      <c r="E68" s="42">
        <f>D68/D148*100</f>
        <v>0.03801272714612265</v>
      </c>
      <c r="F68" s="111">
        <f>D68/B68*100</f>
        <v>73.77146240378923</v>
      </c>
      <c r="G68" s="3">
        <f t="shared" si="4"/>
        <v>63.58764991069149</v>
      </c>
      <c r="H68" s="3">
        <f>B68-D68</f>
        <v>88.60000000000002</v>
      </c>
      <c r="I68" s="3">
        <f t="shared" si="5"/>
        <v>142.70000000000005</v>
      </c>
    </row>
    <row r="69" spans="1:9" ht="18">
      <c r="A69" s="29" t="s">
        <v>8</v>
      </c>
      <c r="B69" s="49">
        <f>242.8+64.3</f>
        <v>307.1</v>
      </c>
      <c r="C69" s="50">
        <f>250.3-5+64.3</f>
        <v>309.6</v>
      </c>
      <c r="D69" s="51">
        <f>0.2+12.6+73.3+85.8+22+1.3+2.3+2.7+1.6+2.5+7.9-0.2+3.6+5.1+14.9+0.1+2.1</f>
        <v>237.79999999999998</v>
      </c>
      <c r="E69" s="1">
        <f>D69/D68*100</f>
        <v>95.42536115569823</v>
      </c>
      <c r="F69" s="1">
        <f t="shared" si="6"/>
        <v>77.43406056659067</v>
      </c>
      <c r="G69" s="1">
        <f t="shared" si="4"/>
        <v>76.80878552971575</v>
      </c>
      <c r="H69" s="1">
        <f t="shared" si="7"/>
        <v>69.30000000000004</v>
      </c>
      <c r="I69" s="1">
        <f t="shared" si="5"/>
        <v>71.80000000000004</v>
      </c>
    </row>
    <row r="70" spans="1:9" ht="18.75" thickBot="1">
      <c r="A70" s="29" t="s">
        <v>9</v>
      </c>
      <c r="B70" s="49">
        <f>106.9-76.2</f>
        <v>30.700000000000003</v>
      </c>
      <c r="C70" s="50">
        <f>242.8-42.9-28.6-11-78</f>
        <v>82.30000000000001</v>
      </c>
      <c r="D70" s="51">
        <f>7.4+0.2+3.8</f>
        <v>11.4</v>
      </c>
      <c r="E70" s="1">
        <f>D70/D69*100</f>
        <v>4.79394449116905</v>
      </c>
      <c r="F70" s="1">
        <f t="shared" si="6"/>
        <v>37.13355048859935</v>
      </c>
      <c r="G70" s="1">
        <f t="shared" si="4"/>
        <v>13.851761846901578</v>
      </c>
      <c r="H70" s="1">
        <f t="shared" si="7"/>
        <v>19.300000000000004</v>
      </c>
      <c r="I70" s="1">
        <f t="shared" si="5"/>
        <v>70.9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D71/D148*100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D78/D148*100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D83/D148*100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D86/D148*100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37262.4-137</f>
        <v>37125.4</v>
      </c>
      <c r="C89" s="53">
        <f>47925.9+539.6+110+168.6+27+1682.4+76</f>
        <v>50529.5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</f>
        <v>32705.299999999992</v>
      </c>
      <c r="E89" s="3">
        <f>D89/D148*100</f>
        <v>4.988834852054916</v>
      </c>
      <c r="F89" s="3">
        <f aca="true" t="shared" si="10" ref="F89:F95">D89/B89*100</f>
        <v>88.0941350126867</v>
      </c>
      <c r="G89" s="3">
        <f t="shared" si="8"/>
        <v>64.72516054977784</v>
      </c>
      <c r="H89" s="3">
        <f aca="true" t="shared" si="11" ref="H89:H95">B89-D89</f>
        <v>4420.1000000000095</v>
      </c>
      <c r="I89" s="3">
        <f t="shared" si="9"/>
        <v>17824.200000000008</v>
      </c>
    </row>
    <row r="90" spans="1:9" ht="18">
      <c r="A90" s="29" t="s">
        <v>3</v>
      </c>
      <c r="B90" s="49">
        <f>30669.9+4</f>
        <v>30673.9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</f>
        <v>28038.700000000008</v>
      </c>
      <c r="E90" s="1">
        <f>D90/D89*100</f>
        <v>85.73136464120499</v>
      </c>
      <c r="F90" s="1">
        <f t="shared" si="10"/>
        <v>91.40898288121173</v>
      </c>
      <c r="G90" s="1">
        <f t="shared" si="8"/>
        <v>67.85679712684292</v>
      </c>
      <c r="H90" s="1">
        <f t="shared" si="11"/>
        <v>2635.1999999999935</v>
      </c>
      <c r="I90" s="1">
        <f t="shared" si="9"/>
        <v>13281.699999999993</v>
      </c>
    </row>
    <row r="91" spans="1:9" ht="18">
      <c r="A91" s="29" t="s">
        <v>32</v>
      </c>
      <c r="B91" s="49">
        <f>1511.3-4</f>
        <v>1507.3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</f>
        <v>1105.3999999999999</v>
      </c>
      <c r="E91" s="1">
        <f>D91/D89*100</f>
        <v>3.3798803252072296</v>
      </c>
      <c r="F91" s="1">
        <f t="shared" si="10"/>
        <v>73.33642937703178</v>
      </c>
      <c r="G91" s="1">
        <f t="shared" si="8"/>
        <v>42.92648829171682</v>
      </c>
      <c r="H91" s="1">
        <f t="shared" si="11"/>
        <v>401.9000000000001</v>
      </c>
      <c r="I91" s="1">
        <f t="shared" si="9"/>
        <v>1469.7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4944.2</v>
      </c>
      <c r="C93" s="50">
        <f>C89-C90-C91-C92</f>
        <v>6633.999999999998</v>
      </c>
      <c r="D93" s="50">
        <f>D89-D90-D91-D92</f>
        <v>3561.1999999999844</v>
      </c>
      <c r="E93" s="1">
        <f>D93/D89*100</f>
        <v>10.888755033587783</v>
      </c>
      <c r="F93" s="1">
        <f t="shared" si="10"/>
        <v>72.02783058937715</v>
      </c>
      <c r="G93" s="1">
        <f>D93/C93*100</f>
        <v>53.68103708170011</v>
      </c>
      <c r="H93" s="1">
        <f t="shared" si="11"/>
        <v>1383.0000000000155</v>
      </c>
      <c r="I93" s="1">
        <f>C93-D93</f>
        <v>3072.800000000014</v>
      </c>
    </row>
    <row r="94" spans="1:9" ht="18.75">
      <c r="A94" s="121" t="s">
        <v>12</v>
      </c>
      <c r="B94" s="126">
        <f>41259.6+1544.7</f>
        <v>42804.299999999996</v>
      </c>
      <c r="C94" s="128">
        <f>48638.3+1900-424+424+830+1679.1</f>
        <v>53047.4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</f>
        <v>39562.90000000001</v>
      </c>
      <c r="E94" s="120">
        <f>D94/D148*100</f>
        <v>6.034886528127353</v>
      </c>
      <c r="F94" s="124">
        <f t="shared" si="10"/>
        <v>92.42739631298727</v>
      </c>
      <c r="G94" s="119">
        <f>D94/C94*100</f>
        <v>74.58028103168111</v>
      </c>
      <c r="H94" s="125">
        <f t="shared" si="11"/>
        <v>3241.399999999987</v>
      </c>
      <c r="I94" s="120">
        <f>C94-D94</f>
        <v>13484.499999999993</v>
      </c>
    </row>
    <row r="95" spans="1:9" ht="18.75" thickBot="1">
      <c r="A95" s="122" t="s">
        <v>107</v>
      </c>
      <c r="B95" s="129">
        <v>3647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</f>
        <v>2886.9000000000005</v>
      </c>
      <c r="E95" s="132">
        <f>D95/D94*100</f>
        <v>7.296987834562178</v>
      </c>
      <c r="F95" s="133">
        <f t="shared" si="10"/>
        <v>79.15821222922952</v>
      </c>
      <c r="G95" s="134">
        <f>D95/C95*100</f>
        <v>59.05250884693274</v>
      </c>
      <c r="H95" s="123">
        <f t="shared" si="11"/>
        <v>760.0999999999995</v>
      </c>
      <c r="I95" s="96">
        <f>C95-D95</f>
        <v>2001.7999999999993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D97/D148*100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D99/D148*100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7361.1-56.2</f>
        <v>7304.900000000001</v>
      </c>
      <c r="C101" s="104">
        <f>6061.2+4589.8-16.4-3.1+0.1-234+3.8+1279.4-54.3</f>
        <v>11626.5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</f>
        <v>5251.807</v>
      </c>
      <c r="E101" s="25">
        <f>D101/D148*100</f>
        <v>0.8011055638647551</v>
      </c>
      <c r="F101" s="25">
        <f>D101/B101*100</f>
        <v>71.89430382346096</v>
      </c>
      <c r="G101" s="25">
        <f aca="true" t="shared" si="12" ref="G101:G146">D101/C101*100</f>
        <v>45.171005891712895</v>
      </c>
      <c r="H101" s="25">
        <f aca="true" t="shared" si="13" ref="H101:H106">B101-D101</f>
        <v>2053.0930000000008</v>
      </c>
      <c r="I101" s="25">
        <f aca="true" t="shared" si="14" ref="I101:I146">C101-D101</f>
        <v>6374.693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6357.2-56.2</f>
        <v>6301</v>
      </c>
      <c r="C103" s="51">
        <f>5036.9+4586-16.4-3.1+0.1-234-4.8+1279.4-54.3</f>
        <v>10589.800000000001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</f>
        <v>4818.3</v>
      </c>
      <c r="E103" s="1">
        <f>D103/D101*100</f>
        <v>91.745564907469</v>
      </c>
      <c r="F103" s="1">
        <f aca="true" t="shared" si="15" ref="F103:F146">D103/B103*100</f>
        <v>76.46881447389303</v>
      </c>
      <c r="G103" s="1">
        <f t="shared" si="12"/>
        <v>45.49944286011067</v>
      </c>
      <c r="H103" s="1">
        <f t="shared" si="13"/>
        <v>1482.6999999999998</v>
      </c>
      <c r="I103" s="1">
        <f t="shared" si="14"/>
        <v>5771.500000000001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433.5069999999996</v>
      </c>
      <c r="E105" s="96">
        <f>D105/D101*100</f>
        <v>8.254435092531</v>
      </c>
      <c r="F105" s="96">
        <f t="shared" si="15"/>
        <v>43.18228907261673</v>
      </c>
      <c r="G105" s="96">
        <f t="shared" si="12"/>
        <v>41.816050930838244</v>
      </c>
      <c r="H105" s="96">
        <f>B105-D105</f>
        <v>570.3930000000009</v>
      </c>
      <c r="I105" s="96">
        <f t="shared" si="14"/>
        <v>603.1929999999993</v>
      </c>
    </row>
    <row r="106" spans="1:9" s="2" customFormat="1" ht="26.25" customHeight="1" thickBot="1">
      <c r="A106" s="92" t="s">
        <v>35</v>
      </c>
      <c r="B106" s="93">
        <f>SUM(B107:B145)-B114-B118+B146-B137-B138-B108-B111-B121-B122-B135-B129</f>
        <v>144998.4</v>
      </c>
      <c r="C106" s="93">
        <f>SUM(C107:C145)-C114-C118+C146-C137-C138-C108-C111-C121-C122-C135-C129</f>
        <v>177393.3</v>
      </c>
      <c r="D106" s="93">
        <f>SUM(D107:D145)-D114-D118+D146-D137-D138-D108-D111-D121-D122-D135-D129</f>
        <v>134185.09999999998</v>
      </c>
      <c r="E106" s="94">
        <f>D106/D148*100</f>
        <v>20.468465462982273</v>
      </c>
      <c r="F106" s="94">
        <f>D106/B106*100</f>
        <v>92.54246943414547</v>
      </c>
      <c r="G106" s="94">
        <f t="shared" si="12"/>
        <v>75.64271029401898</v>
      </c>
      <c r="H106" s="94">
        <f t="shared" si="13"/>
        <v>10813.300000000017</v>
      </c>
      <c r="I106" s="94">
        <f t="shared" si="14"/>
        <v>43208.20000000001</v>
      </c>
    </row>
    <row r="107" spans="1:9" ht="37.5">
      <c r="A107" s="34" t="s">
        <v>66</v>
      </c>
      <c r="B107" s="78">
        <f>1307.7+161.4</f>
        <v>1469.1000000000001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</f>
        <v>864.3000000000002</v>
      </c>
      <c r="E107" s="6">
        <f>D107/D106*100</f>
        <v>0.6441102626148509</v>
      </c>
      <c r="F107" s="6">
        <f t="shared" si="15"/>
        <v>58.831937921176234</v>
      </c>
      <c r="G107" s="6">
        <f t="shared" si="12"/>
        <v>44.06995716908016</v>
      </c>
      <c r="H107" s="6">
        <f aca="true" t="shared" si="16" ref="H107:H146">B107-D107</f>
        <v>604.8</v>
      </c>
      <c r="I107" s="6">
        <f t="shared" si="14"/>
        <v>1096.8999999999999</v>
      </c>
    </row>
    <row r="108" spans="1:9" ht="18">
      <c r="A108" s="29" t="s">
        <v>32</v>
      </c>
      <c r="B108" s="81">
        <v>521.3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78.16995971609438</v>
      </c>
      <c r="G108" s="1">
        <f t="shared" si="12"/>
        <v>49.47189510744202</v>
      </c>
      <c r="H108" s="1">
        <f t="shared" si="16"/>
        <v>113.79999999999995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20.7+31.6+0.1+27.7-0.1+31.4+0.1+10.6+34.1+43.9+13.6+28.6+61.2+100.4</f>
        <v>403.9</v>
      </c>
      <c r="E109" s="6">
        <f>D109/D106*100</f>
        <v>0.3010021231865535</v>
      </c>
      <c r="F109" s="6">
        <f>D109/B109*100</f>
        <v>57.69175832023996</v>
      </c>
      <c r="G109" s="6">
        <f t="shared" si="12"/>
        <v>44.68909050674928</v>
      </c>
      <c r="H109" s="6">
        <f t="shared" si="16"/>
        <v>296.20000000000005</v>
      </c>
      <c r="I109" s="6">
        <f t="shared" si="14"/>
        <v>499.9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0.018481932792836164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</f>
        <v>43.800000000000004</v>
      </c>
      <c r="E112" s="6">
        <f>D112/D106*100</f>
        <v>0.03264147807767033</v>
      </c>
      <c r="F112" s="6">
        <f t="shared" si="15"/>
        <v>86.73267326732675</v>
      </c>
      <c r="G112" s="6">
        <f t="shared" si="12"/>
        <v>64.98516320474778</v>
      </c>
      <c r="H112" s="6">
        <f t="shared" si="16"/>
        <v>6.699999999999996</v>
      </c>
      <c r="I112" s="6">
        <f t="shared" si="14"/>
        <v>23.6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96.4+0.6+6.3+86+10.4+21.5+5.3+0.1+11.6+102.1+10.6+3.5+5.6+100.7+13.3+0.9+3.6+96.9-0.1+15.7+1.7+1+96.8+0.1+4+1+0.2+1.2+96.6+0.3-0.1+8.6+0.3+99+5.6+0.2</f>
        <v>907.5000000000002</v>
      </c>
      <c r="E113" s="6">
        <f>D113/D106*100</f>
        <v>0.6763045971572107</v>
      </c>
      <c r="F113" s="6">
        <f t="shared" si="15"/>
        <v>79.58431991581165</v>
      </c>
      <c r="G113" s="6">
        <f t="shared" si="12"/>
        <v>59.21696574225124</v>
      </c>
      <c r="H113" s="6">
        <f t="shared" si="16"/>
        <v>232.79999999999973</v>
      </c>
      <c r="I113" s="6">
        <f t="shared" si="14"/>
        <v>624.9999999999998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0.02682861211863315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19.1+40+15+2.5</f>
        <v>76.6</v>
      </c>
      <c r="E116" s="6">
        <f>D116/D106*100</f>
        <v>0.0570853246746472</v>
      </c>
      <c r="F116" s="6">
        <f>D116/B116*100</f>
        <v>37.32943469785575</v>
      </c>
      <c r="G116" s="6">
        <f t="shared" si="12"/>
        <v>31.23980424143556</v>
      </c>
      <c r="H116" s="6">
        <f t="shared" si="16"/>
        <v>128.6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175.6</v>
      </c>
      <c r="C117" s="60">
        <f>199.6+4.8+37.1</f>
        <v>241.5</v>
      </c>
      <c r="D117" s="79">
        <f>1.6+18.3+17.8+0.8+2.2+4+0.6+16.7+3.7+3.6+16.7+3.4+1.3+16.7+2.9+0.8+16.7+0.1+0.8+1.3+16.7+3.7+1.1+1.1+3.7</f>
        <v>156.29999999999998</v>
      </c>
      <c r="E117" s="6">
        <f>D117/D106*100</f>
        <v>0.1164808909483989</v>
      </c>
      <c r="F117" s="6">
        <f t="shared" si="15"/>
        <v>89.00911161731206</v>
      </c>
      <c r="G117" s="6">
        <f t="shared" si="12"/>
        <v>64.72049689440993</v>
      </c>
      <c r="H117" s="6">
        <f t="shared" si="16"/>
        <v>19.30000000000001</v>
      </c>
      <c r="I117" s="6">
        <f t="shared" si="14"/>
        <v>85.20000000000002</v>
      </c>
    </row>
    <row r="118" spans="1:9" s="39" customFormat="1" ht="18">
      <c r="A118" s="40" t="s">
        <v>53</v>
      </c>
      <c r="B118" s="81">
        <v>133.7</v>
      </c>
      <c r="C118" s="51">
        <f>150.8+37.1</f>
        <v>187.9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62.21394358701438</v>
      </c>
      <c r="H118" s="1">
        <f t="shared" si="16"/>
        <v>16.799999999999983</v>
      </c>
      <c r="I118" s="1">
        <f t="shared" si="14"/>
        <v>71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0.33409074479953443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1251-88+88</f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0.6005882918446236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f>70+88</f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21+0.9+174.2+5+11.4+16.5-0.1+809.5+345.2+0.7+692.9+77.6+2.5-0.1</f>
        <v>2157.2000000000003</v>
      </c>
      <c r="E123" s="19">
        <f>D123/D106*100</f>
        <v>1.6076300572865398</v>
      </c>
      <c r="F123" s="6">
        <f t="shared" si="15"/>
        <v>99.55695034151745</v>
      </c>
      <c r="G123" s="6">
        <f t="shared" si="12"/>
        <v>73.52921126184471</v>
      </c>
      <c r="H123" s="6">
        <f t="shared" si="16"/>
        <v>9.599999999999909</v>
      </c>
      <c r="I123" s="6">
        <f t="shared" si="14"/>
        <v>776.5999999999999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0.09680657539473461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0.0014904784510351749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0.018630980637939686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f>748.2+60.1</f>
        <v>808.3000000000001</v>
      </c>
      <c r="C127" s="60">
        <f>101.4+27.9+634-0.2+60.1</f>
        <v>823.1999999999999</v>
      </c>
      <c r="D127" s="83">
        <f>3+3+4.9+21.9-0.1+12.2+1.6+6.9+7.8+0.7+8.4+2.4+5+2.4+0.1+5.6+2.4+0.1+5+2.4+578.6+30.5+2.4+19.2</f>
        <v>726.4000000000001</v>
      </c>
      <c r="E127" s="19">
        <f>D127/D106*100</f>
        <v>0.5413417734159756</v>
      </c>
      <c r="F127" s="6">
        <f t="shared" si="15"/>
        <v>89.86762340715082</v>
      </c>
      <c r="G127" s="6">
        <f t="shared" si="12"/>
        <v>88.24101068999029</v>
      </c>
      <c r="H127" s="6">
        <f t="shared" si="16"/>
        <v>81.89999999999998</v>
      </c>
      <c r="I127" s="6">
        <f t="shared" si="14"/>
        <v>96.79999999999984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8.7+23.6+6.2+5.1+38.5+4.6+4.8+8.6+12.9+2.8+0.1+16.3+3+2.5+6.2-0.2+39.7+9.9+9.5+37.2+8.4+10.6+4.5+4.6+8.4+6.1+57.4+4.4</f>
        <v>344.4</v>
      </c>
      <c r="E128" s="19">
        <f>D128/D106*100</f>
        <v>0.25666038926825707</v>
      </c>
      <c r="F128" s="6">
        <f t="shared" si="15"/>
        <v>60.06278339727938</v>
      </c>
      <c r="G128" s="6">
        <f t="shared" si="12"/>
        <v>52.98461538461539</v>
      </c>
      <c r="H128" s="6">
        <f t="shared" si="16"/>
        <v>229</v>
      </c>
      <c r="I128" s="6">
        <f t="shared" si="14"/>
        <v>305.6</v>
      </c>
    </row>
    <row r="129" spans="1:9" s="39" customFormat="1" ht="18">
      <c r="A129" s="40" t="s">
        <v>53</v>
      </c>
      <c r="B129" s="81">
        <v>74.7</v>
      </c>
      <c r="C129" s="51">
        <v>74.7</v>
      </c>
      <c r="D129" s="82"/>
      <c r="E129" s="1"/>
      <c r="F129" s="1">
        <f>D129/B129*100</f>
        <v>0</v>
      </c>
      <c r="G129" s="1">
        <f t="shared" si="12"/>
        <v>0</v>
      </c>
      <c r="H129" s="1">
        <f t="shared" si="16"/>
        <v>74.7</v>
      </c>
      <c r="I129" s="1">
        <f t="shared" si="14"/>
        <v>74.7</v>
      </c>
    </row>
    <row r="130" spans="1:9" s="2" customFormat="1" ht="35.25" customHeight="1">
      <c r="A130" s="17" t="s">
        <v>70</v>
      </c>
      <c r="B130" s="80">
        <v>125</v>
      </c>
      <c r="C130" s="60">
        <f>171.5+14.8-110+48.7</f>
        <v>125.00000000000001</v>
      </c>
      <c r="D130" s="83">
        <f>5.6+5.6+3.5+1.3+1.8+0.1+2.5+14.8+2.8</f>
        <v>38</v>
      </c>
      <c r="E130" s="19">
        <f>D130/D106*100</f>
        <v>0.028319090569668325</v>
      </c>
      <c r="F130" s="6">
        <f t="shared" si="15"/>
        <v>30.4</v>
      </c>
      <c r="G130" s="6">
        <f t="shared" si="12"/>
        <v>30.4</v>
      </c>
      <c r="H130" s="6">
        <f t="shared" si="16"/>
        <v>87</v>
      </c>
      <c r="I130" s="6">
        <f t="shared" si="14"/>
        <v>87.00000000000001</v>
      </c>
    </row>
    <row r="131" spans="1:9" s="2" customFormat="1" ht="35.25" customHeight="1">
      <c r="A131" s="17" t="s">
        <v>72</v>
      </c>
      <c r="B131" s="80">
        <v>90</v>
      </c>
      <c r="C131" s="60">
        <v>220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90</v>
      </c>
      <c r="I131" s="6">
        <f t="shared" si="14"/>
        <v>220</v>
      </c>
    </row>
    <row r="132" spans="1:9" s="2" customFormat="1" ht="35.25" customHeight="1">
      <c r="A132" s="17" t="s">
        <v>119</v>
      </c>
      <c r="B132" s="80">
        <v>50</v>
      </c>
      <c r="C132" s="60">
        <v>50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50</v>
      </c>
      <c r="I132" s="6">
        <f t="shared" si="14"/>
        <v>50</v>
      </c>
    </row>
    <row r="133" spans="1:9" s="2" customFormat="1" ht="35.25" customHeight="1">
      <c r="A133" s="17" t="s">
        <v>120</v>
      </c>
      <c r="B133" s="80">
        <v>0</v>
      </c>
      <c r="C133" s="60">
        <v>3882.1</v>
      </c>
      <c r="D133" s="83"/>
      <c r="E133" s="19">
        <f>D133/D106*100</f>
        <v>0</v>
      </c>
      <c r="F133" s="136" t="e">
        <f t="shared" si="15"/>
        <v>#DIV/0!</v>
      </c>
      <c r="G133" s="6">
        <f t="shared" si="12"/>
        <v>0</v>
      </c>
      <c r="H133" s="6">
        <f t="shared" si="16"/>
        <v>0</v>
      </c>
      <c r="I133" s="6">
        <f t="shared" si="14"/>
        <v>3882.1</v>
      </c>
    </row>
    <row r="134" spans="1:9" s="2" customFormat="1" ht="37.5">
      <c r="A134" s="17" t="s">
        <v>108</v>
      </c>
      <c r="B134" s="80">
        <f>265.1+39.2</f>
        <v>304.3</v>
      </c>
      <c r="C134" s="60">
        <f>265.1+39.2</f>
        <v>304.3</v>
      </c>
      <c r="D134" s="83">
        <f>59.9+7.6+10.7+6.3+5.3+38.1+4+0.1+1.7+3.6+39.2+1.5+0.1+12.4+0.1+5.1+12</f>
        <v>207.7</v>
      </c>
      <c r="E134" s="19">
        <f>D134/D106*100</f>
        <v>0.1547861871400029</v>
      </c>
      <c r="F134" s="6">
        <f t="shared" si="15"/>
        <v>68.25501150180742</v>
      </c>
      <c r="G134" s="6">
        <f>D134/C134*100</f>
        <v>68.25501150180742</v>
      </c>
      <c r="H134" s="6">
        <f t="shared" si="16"/>
        <v>96.60000000000002</v>
      </c>
      <c r="I134" s="6">
        <f t="shared" si="14"/>
        <v>96.60000000000002</v>
      </c>
    </row>
    <row r="135" spans="1:9" s="39" customFormat="1" ht="18">
      <c r="A135" s="29" t="s">
        <v>32</v>
      </c>
      <c r="B135" s="81">
        <f>64.2+30</f>
        <v>94.2</v>
      </c>
      <c r="C135" s="51">
        <f>64.2+30</f>
        <v>94.2</v>
      </c>
      <c r="D135" s="82">
        <f>7.6+0.3+4.8+38.1+4+0.1+0.1+0.1+8.5+0.1+12</f>
        <v>75.7</v>
      </c>
      <c r="E135" s="1">
        <f>D135/D134*100</f>
        <v>36.446798266730866</v>
      </c>
      <c r="F135" s="1">
        <f t="shared" si="15"/>
        <v>80.36093418259024</v>
      </c>
      <c r="G135" s="1">
        <f>D135/C135*100</f>
        <v>80.36093418259024</v>
      </c>
      <c r="H135" s="1">
        <f t="shared" si="16"/>
        <v>18.5</v>
      </c>
      <c r="I135" s="1">
        <f t="shared" si="14"/>
        <v>18.5</v>
      </c>
    </row>
    <row r="136" spans="1:9" s="2" customFormat="1" ht="18.75">
      <c r="A136" s="17" t="s">
        <v>31</v>
      </c>
      <c r="B136" s="80">
        <f>737.6+12</f>
        <v>749.6</v>
      </c>
      <c r="C136" s="60">
        <f>981.9+3.8+55.8</f>
        <v>1041.5</v>
      </c>
      <c r="D136" s="83">
        <f>21.9+41.8+0.1+6.1+26+3.6+0.1+41-0.1+21.3+6.2+7.1+43.4+4.5+8.8+48.5+7.5+32.1+0.1+41.9+8.4+5.1+33.1+1.3+25.6+4.3+48.8+5.3+25.6+1.9+53.3-0.1+30.8+0.1+48.5+0.4+47.7</f>
        <v>702</v>
      </c>
      <c r="E136" s="19">
        <f>D136/D106*100</f>
        <v>0.5231579363133464</v>
      </c>
      <c r="F136" s="6">
        <f t="shared" si="15"/>
        <v>93.64994663820704</v>
      </c>
      <c r="G136" s="6">
        <f t="shared" si="12"/>
        <v>67.40278444551127</v>
      </c>
      <c r="H136" s="6">
        <f t="shared" si="16"/>
        <v>47.60000000000002</v>
      </c>
      <c r="I136" s="6">
        <f t="shared" si="14"/>
        <v>339.5</v>
      </c>
    </row>
    <row r="137" spans="1:9" s="39" customFormat="1" ht="18">
      <c r="A137" s="40" t="s">
        <v>53</v>
      </c>
      <c r="B137" s="81">
        <f>643.9+12</f>
        <v>655.9</v>
      </c>
      <c r="C137" s="51">
        <f>848.7+46.3</f>
        <v>895</v>
      </c>
      <c r="D137" s="82">
        <f>21.9+39.7+0.1+6.1+19+41-0.1+21.3+43.3+8.5+32.3+32.1+41.5+4.2+33.1+25.6+47+0.1+25.6+53.3+26.2+48.5+0.4+43.2</f>
        <v>613.9000000000002</v>
      </c>
      <c r="E137" s="1">
        <f>D137/D136*100</f>
        <v>87.45014245014248</v>
      </c>
      <c r="F137" s="1">
        <f aca="true" t="shared" si="17" ref="F137:F145">D137/B137*100</f>
        <v>93.59658484525083</v>
      </c>
      <c r="G137" s="1">
        <f t="shared" si="12"/>
        <v>68.59217877094974</v>
      </c>
      <c r="H137" s="1">
        <f t="shared" si="16"/>
        <v>41.99999999999977</v>
      </c>
      <c r="I137" s="1">
        <f t="shared" si="14"/>
        <v>281.0999999999998</v>
      </c>
    </row>
    <row r="138" spans="1:9" s="39" customFormat="1" ht="18">
      <c r="A138" s="29" t="s">
        <v>32</v>
      </c>
      <c r="B138" s="81">
        <v>22.4</v>
      </c>
      <c r="C138" s="51">
        <f>26.3+9.5</f>
        <v>35.8</v>
      </c>
      <c r="D138" s="82">
        <f>7+6+0.2+7.1+0.1+0.4+0.3+0.1+0.3+0.4+0.3</f>
        <v>22.2</v>
      </c>
      <c r="E138" s="1">
        <f>D138/D136*100</f>
        <v>3.1623931623931623</v>
      </c>
      <c r="F138" s="1">
        <f t="shared" si="17"/>
        <v>99.10714285714286</v>
      </c>
      <c r="G138" s="1">
        <f>D138/C138*100</f>
        <v>62.011173184357546</v>
      </c>
      <c r="H138" s="1">
        <f t="shared" si="16"/>
        <v>0.1999999999999993</v>
      </c>
      <c r="I138" s="1">
        <f t="shared" si="14"/>
        <v>13.599999999999998</v>
      </c>
    </row>
    <row r="139" spans="1:9" s="2" customFormat="1" ht="56.25">
      <c r="A139" s="23" t="s">
        <v>113</v>
      </c>
      <c r="B139" s="80">
        <v>200</v>
      </c>
      <c r="C139" s="60">
        <v>200</v>
      </c>
      <c r="D139" s="83">
        <v>200</v>
      </c>
      <c r="E139" s="19">
        <f>D139/D106*100</f>
        <v>0.14904784510351748</v>
      </c>
      <c r="F139" s="112">
        <f t="shared" si="17"/>
        <v>100</v>
      </c>
      <c r="G139" s="6">
        <f t="shared" si="12"/>
        <v>100</v>
      </c>
      <c r="H139" s="6">
        <f t="shared" si="16"/>
        <v>0</v>
      </c>
      <c r="I139" s="6">
        <f t="shared" si="14"/>
        <v>0</v>
      </c>
    </row>
    <row r="140" spans="1:9" s="2" customFormat="1" ht="18.75">
      <c r="A140" s="23" t="s">
        <v>118</v>
      </c>
      <c r="B140" s="80">
        <f>427+500</f>
        <v>927</v>
      </c>
      <c r="C140" s="60">
        <f>427+1500</f>
        <v>1927</v>
      </c>
      <c r="D140" s="83"/>
      <c r="E140" s="19"/>
      <c r="F140" s="112">
        <f>D140/B140*100</f>
        <v>0</v>
      </c>
      <c r="G140" s="6">
        <f t="shared" si="12"/>
        <v>0</v>
      </c>
      <c r="H140" s="6">
        <f t="shared" si="16"/>
        <v>927</v>
      </c>
      <c r="I140" s="6">
        <f t="shared" si="14"/>
        <v>1927</v>
      </c>
    </row>
    <row r="141" spans="1:9" s="2" customFormat="1" ht="18.75">
      <c r="A141" s="23" t="s">
        <v>110</v>
      </c>
      <c r="B141" s="80">
        <v>8800</v>
      </c>
      <c r="C141" s="60">
        <f>6500-2076-424+9200+2300</f>
        <v>15500</v>
      </c>
      <c r="D141" s="83">
        <f>241.3+64.6+48.1+278.9+170.1+140.9+637.5+150.9+370.2+164.6+344.6+242.4+441.1+0.1+89.8</f>
        <v>3385.1</v>
      </c>
      <c r="E141" s="19">
        <f>D141/D106*100</f>
        <v>2.5227093022995852</v>
      </c>
      <c r="F141" s="112">
        <f t="shared" si="17"/>
        <v>38.46704545454545</v>
      </c>
      <c r="G141" s="6">
        <f t="shared" si="12"/>
        <v>21.839354838709678</v>
      </c>
      <c r="H141" s="6">
        <f t="shared" si="16"/>
        <v>5414.9</v>
      </c>
      <c r="I141" s="6">
        <f t="shared" si="14"/>
        <v>12114.9</v>
      </c>
    </row>
    <row r="142" spans="1:9" s="2" customFormat="1" ht="18.75">
      <c r="A142" s="23" t="s">
        <v>111</v>
      </c>
      <c r="B142" s="80">
        <f>3775.1+20</f>
        <v>3795.1</v>
      </c>
      <c r="C142" s="60">
        <f>6082.6-959.5+20</f>
        <v>5143.1</v>
      </c>
      <c r="D142" s="83">
        <f>626.1+43.8+40.3+236+112.9+11.4-0.1+68.6+570.3+22.4+44.4+39.9+585.7+199.1+14+103.1+2.3+286.9+158.5+66.9+234.3+82.1+59.7</f>
        <v>3608.6000000000004</v>
      </c>
      <c r="E142" s="19">
        <f>D142/D106*100</f>
        <v>2.6892702692027664</v>
      </c>
      <c r="F142" s="112">
        <f t="shared" si="17"/>
        <v>95.08576849094887</v>
      </c>
      <c r="G142" s="6">
        <f t="shared" si="12"/>
        <v>70.16390892652291</v>
      </c>
      <c r="H142" s="6">
        <f t="shared" si="16"/>
        <v>186.49999999999955</v>
      </c>
      <c r="I142" s="6">
        <f t="shared" si="14"/>
        <v>1534.5</v>
      </c>
    </row>
    <row r="143" spans="1:9" s="2" customFormat="1" ht="18.75">
      <c r="A143" s="17" t="s">
        <v>114</v>
      </c>
      <c r="B143" s="80">
        <f>4188+2094</f>
        <v>6282</v>
      </c>
      <c r="C143" s="60">
        <v>8376</v>
      </c>
      <c r="D143" s="83">
        <f>2094+2094+2094</f>
        <v>6282</v>
      </c>
      <c r="E143" s="19">
        <f>D143/D106*100</f>
        <v>4.681592814701483</v>
      </c>
      <c r="F143" s="112">
        <f t="shared" si="17"/>
        <v>100</v>
      </c>
      <c r="G143" s="6">
        <f t="shared" si="12"/>
        <v>75</v>
      </c>
      <c r="H143" s="6">
        <f t="shared" si="16"/>
        <v>0</v>
      </c>
      <c r="I143" s="6">
        <f t="shared" si="14"/>
        <v>2094</v>
      </c>
    </row>
    <row r="144" spans="1:12" s="2" customFormat="1" ht="18.75" customHeight="1">
      <c r="A144" s="17" t="s">
        <v>98</v>
      </c>
      <c r="B144" s="80">
        <v>538.2</v>
      </c>
      <c r="C144" s="60">
        <v>538.2</v>
      </c>
      <c r="D144" s="83">
        <f>507.8+15.4+15</f>
        <v>538.2</v>
      </c>
      <c r="E144" s="19">
        <f>D144/D106*100</f>
        <v>0.4010877511735656</v>
      </c>
      <c r="F144" s="112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  <c r="K144" s="45"/>
      <c r="L144" s="45"/>
    </row>
    <row r="145" spans="1:12" s="2" customFormat="1" ht="19.5" customHeight="1">
      <c r="A145" s="17" t="s">
        <v>64</v>
      </c>
      <c r="B145" s="80">
        <f>99789.9-3797.9</f>
        <v>95992</v>
      </c>
      <c r="C145" s="60">
        <f>91632.1+2530-27+23.1+959.5+13590.1-3797.9</f>
        <v>104909.90000000002</v>
      </c>
      <c r="D145" s="83">
        <f>500.9+20883.8+13804+7506.8+2189.4+1247.6+18786.6+13748.5+10000+5000+2324.4</f>
        <v>95992</v>
      </c>
      <c r="E145" s="19">
        <f>D145/D106*100</f>
        <v>71.53700373588426</v>
      </c>
      <c r="F145" s="6">
        <f t="shared" si="17"/>
        <v>100</v>
      </c>
      <c r="G145" s="6">
        <f t="shared" si="12"/>
        <v>91.49946763842114</v>
      </c>
      <c r="H145" s="6">
        <f t="shared" si="16"/>
        <v>0</v>
      </c>
      <c r="I145" s="6">
        <f t="shared" si="14"/>
        <v>8917.900000000023</v>
      </c>
      <c r="K145" s="103"/>
      <c r="L145" s="45"/>
    </row>
    <row r="146" spans="1:12" s="2" customFormat="1" ht="18.75">
      <c r="A146" s="17" t="s">
        <v>112</v>
      </c>
      <c r="B146" s="80">
        <v>16697.7</v>
      </c>
      <c r="C146" s="60">
        <v>22263.4</v>
      </c>
      <c r="D146" s="83">
        <f>1236.9+618.4+618.4+618.4+618.5+618.4+618.4+618.5+618.4+618.4+618.5+618.4+618.4+618.5+618.4+618.4+618.5+618.4+618.4+618.5+618.4+618.4+618.4+618.5+618.4</f>
        <v>16079.199999999995</v>
      </c>
      <c r="E146" s="19">
        <f>D146/D106*100</f>
        <v>11.982850554942388</v>
      </c>
      <c r="F146" s="6">
        <f t="shared" si="15"/>
        <v>96.29589703971202</v>
      </c>
      <c r="G146" s="6">
        <f t="shared" si="12"/>
        <v>72.22257157487174</v>
      </c>
      <c r="H146" s="6">
        <f t="shared" si="16"/>
        <v>618.5000000000055</v>
      </c>
      <c r="I146" s="6">
        <f t="shared" si="14"/>
        <v>6184.200000000006</v>
      </c>
      <c r="K146" s="45"/>
      <c r="L146" s="45"/>
    </row>
    <row r="147" spans="1:12" s="2" customFormat="1" ht="19.5" thickBot="1">
      <c r="A147" s="41" t="s">
        <v>36</v>
      </c>
      <c r="B147" s="84">
        <f>B43+B68+B71+B76+B78+B86+B101+B106+B99+B83+B97</f>
        <v>153470.69999999998</v>
      </c>
      <c r="C147" s="84">
        <f>C43+C68+C71+C76+C78+C86+C101+C106+C99+C83+C97</f>
        <v>190723.5</v>
      </c>
      <c r="D147" s="60">
        <f>D43+D68+D71+D76+D78+D86+D101+D106+D99+D83+D97</f>
        <v>140209.90699999998</v>
      </c>
      <c r="E147" s="19"/>
      <c r="F147" s="19"/>
      <c r="G147" s="6"/>
      <c r="H147" s="6"/>
      <c r="I147" s="20"/>
      <c r="K147" s="45"/>
      <c r="L147" s="45"/>
    </row>
    <row r="148" spans="1:12" ht="19.5" thickBot="1">
      <c r="A148" s="14" t="s">
        <v>19</v>
      </c>
      <c r="B148" s="54">
        <f>B6+B18+B33+B43+B51+B58+B68+B71+B76+B78+B86+B89+B94+B101+B106+B99+B83+B97+B45</f>
        <v>728300.1</v>
      </c>
      <c r="C148" s="54">
        <f>C6+C18+C33+C43+C51+C58+C68+C71+C76+C78+C86+C89+C94+C101+C106+C99+C83+C97+C45</f>
        <v>975443.2000000002</v>
      </c>
      <c r="D148" s="54">
        <f>D6+D18+D33+D43+D51+D58+D68+D71+D76+D78+D86+D89+D94+D101+D106+D99+D83+D97+D45</f>
        <v>655569.9069999999</v>
      </c>
      <c r="E148" s="38">
        <v>100</v>
      </c>
      <c r="F148" s="3">
        <f>D148/B148*100</f>
        <v>90.01370547662975</v>
      </c>
      <c r="G148" s="3">
        <f aca="true" t="shared" si="18" ref="G148:G154">D148/C148*100</f>
        <v>67.20738911296934</v>
      </c>
      <c r="H148" s="3">
        <f aca="true" t="shared" si="19" ref="H148:H154">B148-D148</f>
        <v>72730.19300000009</v>
      </c>
      <c r="I148" s="3">
        <f aca="true" t="shared" si="20" ref="I148:I154">C148-D148</f>
        <v>319873.2930000003</v>
      </c>
      <c r="K148" s="46"/>
      <c r="L148" s="47"/>
    </row>
    <row r="149" spans="1:12" ht="18.75">
      <c r="A149" s="23" t="s">
        <v>5</v>
      </c>
      <c r="B149" s="67">
        <f>B8+B20+B34+B52+B59+B90+B114+B118+B46+B137+B129</f>
        <v>408138.50000000006</v>
      </c>
      <c r="C149" s="67">
        <f>C8+C20+C34+C52+C59+C90+C114+C118+C46+C137+C129</f>
        <v>558492.2999999999</v>
      </c>
      <c r="D149" s="67">
        <f>D8+D20+D34+D52+D59+D90+D114+D118+D46+D137+D129</f>
        <v>370964.8</v>
      </c>
      <c r="E149" s="6">
        <f>D149/D148*100</f>
        <v>56.58661205142842</v>
      </c>
      <c r="F149" s="6">
        <f aca="true" t="shared" si="21" ref="F149:F160">D149/B149*100</f>
        <v>90.89189086547825</v>
      </c>
      <c r="G149" s="6">
        <f t="shared" si="18"/>
        <v>66.42254512730078</v>
      </c>
      <c r="H149" s="6">
        <f t="shared" si="19"/>
        <v>37173.70000000007</v>
      </c>
      <c r="I149" s="18">
        <f t="shared" si="20"/>
        <v>187527.49999999994</v>
      </c>
      <c r="K149" s="46"/>
      <c r="L149" s="47"/>
    </row>
    <row r="150" spans="1:12" ht="18.75">
      <c r="A150" s="23" t="s">
        <v>0</v>
      </c>
      <c r="B150" s="68">
        <f>B11+B23+B36+B55+B61+B91+B49+B138+B108+B111+B95+B135</f>
        <v>68894.99999999999</v>
      </c>
      <c r="C150" s="68">
        <f>C11+C23+C36+C55+C61+C91+C49+C138+C108+C111+C95+C135</f>
        <v>99834</v>
      </c>
      <c r="D150" s="68">
        <f>D11+D23+D36+D55+D61+D91+D49+D138+D108+D111+D95+D135</f>
        <v>58918.5</v>
      </c>
      <c r="E150" s="6">
        <f>D150/D148*100</f>
        <v>8.987371044778602</v>
      </c>
      <c r="F150" s="6">
        <f t="shared" si="21"/>
        <v>85.51926845199218</v>
      </c>
      <c r="G150" s="6">
        <f t="shared" si="18"/>
        <v>59.01646733577739</v>
      </c>
      <c r="H150" s="6">
        <f t="shared" si="19"/>
        <v>9976.499999999985</v>
      </c>
      <c r="I150" s="18">
        <f t="shared" si="20"/>
        <v>40915.5</v>
      </c>
      <c r="K150" s="46"/>
      <c r="L150" s="102"/>
    </row>
    <row r="151" spans="1:12" ht="18.75">
      <c r="A151" s="23" t="s">
        <v>1</v>
      </c>
      <c r="B151" s="67">
        <f>B22+B10+B54+B48+B60+B35+B102+B122</f>
        <v>18317.8</v>
      </c>
      <c r="C151" s="67">
        <f>C22+C10+C54+C48+C60+C35+C102+C122</f>
        <v>25986.7</v>
      </c>
      <c r="D151" s="67">
        <f>D22+D10+D54+D48+D60+D35+D102+D122</f>
        <v>15522.299999999997</v>
      </c>
      <c r="E151" s="6">
        <f>D151/D148*100</f>
        <v>2.367756639567655</v>
      </c>
      <c r="F151" s="6">
        <f t="shared" si="21"/>
        <v>84.73888785771216</v>
      </c>
      <c r="G151" s="6">
        <f t="shared" si="18"/>
        <v>59.73170891263607</v>
      </c>
      <c r="H151" s="6">
        <f t="shared" si="19"/>
        <v>2795.500000000002</v>
      </c>
      <c r="I151" s="18">
        <f t="shared" si="20"/>
        <v>10464.400000000003</v>
      </c>
      <c r="K151" s="46"/>
      <c r="L151" s="47"/>
    </row>
    <row r="152" spans="1:12" ht="21" customHeight="1">
      <c r="A152" s="23" t="s">
        <v>15</v>
      </c>
      <c r="B152" s="67">
        <f>B12+B24+B103+B62+B38+B92</f>
        <v>9691.4</v>
      </c>
      <c r="C152" s="67">
        <f>C12+C24+C103+C62+C38+C92</f>
        <v>15529.500000000002</v>
      </c>
      <c r="D152" s="67">
        <f>D12+D24+D103+D62+D38+D92</f>
        <v>7478.9</v>
      </c>
      <c r="E152" s="6">
        <f>D152/D148*100</f>
        <v>1.1408241775808055</v>
      </c>
      <c r="F152" s="6">
        <f t="shared" si="21"/>
        <v>77.17048104505025</v>
      </c>
      <c r="G152" s="6">
        <f t="shared" si="18"/>
        <v>48.159309700891846</v>
      </c>
      <c r="H152" s="6">
        <f t="shared" si="19"/>
        <v>2212.5</v>
      </c>
      <c r="I152" s="18">
        <f t="shared" si="20"/>
        <v>8050.600000000002</v>
      </c>
      <c r="K152" s="46"/>
      <c r="L152" s="102"/>
    </row>
    <row r="153" spans="1:12" ht="18.75">
      <c r="A153" s="23" t="s">
        <v>2</v>
      </c>
      <c r="B153" s="67">
        <f>B9+B21+B47+B53+B121</f>
        <v>9896.199999999999</v>
      </c>
      <c r="C153" s="67">
        <f>C9+C21+C47+C53+C121</f>
        <v>13384.7</v>
      </c>
      <c r="D153" s="67">
        <f>D9+D21+D47+D53+D121</f>
        <v>7914.399999999999</v>
      </c>
      <c r="E153" s="6">
        <f>D153/D148*100</f>
        <v>1.207254926666425</v>
      </c>
      <c r="F153" s="6">
        <f t="shared" si="21"/>
        <v>79.97413148481235</v>
      </c>
      <c r="G153" s="6">
        <f t="shared" si="18"/>
        <v>59.13020090102877</v>
      </c>
      <c r="H153" s="6">
        <f t="shared" si="19"/>
        <v>1981.8000000000002</v>
      </c>
      <c r="I153" s="18">
        <f t="shared" si="20"/>
        <v>5470.300000000002</v>
      </c>
      <c r="K153" s="46"/>
      <c r="L153" s="47"/>
    </row>
    <row r="154" spans="1:12" ht="19.5" thickBot="1">
      <c r="A154" s="23" t="s">
        <v>34</v>
      </c>
      <c r="B154" s="67">
        <f>B148-B149-B150-B151-B152-B153</f>
        <v>213361.19999999992</v>
      </c>
      <c r="C154" s="67">
        <f>C148-C149-C150-C151-C152-C153</f>
        <v>262216.00000000023</v>
      </c>
      <c r="D154" s="67">
        <f>D148-D149-D150-D151-D152-D153</f>
        <v>194771.00699999993</v>
      </c>
      <c r="E154" s="6">
        <f>D154/D148*100</f>
        <v>29.7101811599781</v>
      </c>
      <c r="F154" s="6">
        <f t="shared" si="21"/>
        <v>91.28698516881232</v>
      </c>
      <c r="G154" s="43">
        <f t="shared" si="18"/>
        <v>74.27884148945898</v>
      </c>
      <c r="H154" s="6">
        <f t="shared" si="19"/>
        <v>18590.193</v>
      </c>
      <c r="I154" s="6">
        <f t="shared" si="20"/>
        <v>67444.99300000031</v>
      </c>
      <c r="K154" s="46"/>
      <c r="L154" s="102"/>
    </row>
    <row r="155" spans="1:12" ht="5.25" customHeight="1" thickBot="1">
      <c r="A155" s="35"/>
      <c r="B155" s="85"/>
      <c r="C155" s="86"/>
      <c r="D155" s="86"/>
      <c r="E155" s="21"/>
      <c r="F155" s="21"/>
      <c r="G155" s="21"/>
      <c r="H155" s="21"/>
      <c r="I155" s="22"/>
      <c r="K155" s="46"/>
      <c r="L155" s="46"/>
    </row>
    <row r="156" spans="1:12" ht="18.75">
      <c r="A156" s="32" t="s">
        <v>21</v>
      </c>
      <c r="B156" s="87">
        <f>17766.1+3203.3</f>
        <v>20969.399999999998</v>
      </c>
      <c r="C156" s="73">
        <f>3301.9+496+14356.4+1358.1+6215.8</f>
        <v>25728.199999999997</v>
      </c>
      <c r="D156" s="73">
        <f>288.1+1522.4+951.8+530.2+8.8+0.5+0.1+495.9+10.6+101+174.6+2.1+509.4+15+8.4+488.4+154.3+94.8+166.1+65.8+286.9+80.4+239.8+10.1+12.9+335.6+111.7+50.2+26.4+275.5+191.2+157.5+87.7+3.1+124.7+130.9+152.7+23.9+59</f>
        <v>7948.499999999998</v>
      </c>
      <c r="E156" s="15"/>
      <c r="F156" s="6">
        <f t="shared" si="21"/>
        <v>37.90523334000972</v>
      </c>
      <c r="G156" s="6">
        <f aca="true" t="shared" si="22" ref="G156:G165">D156/C156*100</f>
        <v>30.89411618379832</v>
      </c>
      <c r="H156" s="6">
        <f>B156-D156</f>
        <v>13020.9</v>
      </c>
      <c r="I156" s="6">
        <f aca="true" t="shared" si="23" ref="I156:I165">C156-D156</f>
        <v>17779.699999999997</v>
      </c>
      <c r="K156" s="46"/>
      <c r="L156" s="46"/>
    </row>
    <row r="157" spans="1:12" ht="18.75">
      <c r="A157" s="23" t="s">
        <v>22</v>
      </c>
      <c r="B157" s="88">
        <f>14268.9+160+846</f>
        <v>15274.9</v>
      </c>
      <c r="C157" s="67">
        <f>16860.5-195+353.2+846</f>
        <v>17864.7</v>
      </c>
      <c r="D157" s="67">
        <f>132.1+649.5+498.6+2.9+146.5+119.3+11.1+935+701.6+2.9+12.3-0.1+18.6+43.3+39.7+94+282.1+33.2+9+121.6+250.9+78.8+80</f>
        <v>4262.9</v>
      </c>
      <c r="E157" s="6"/>
      <c r="F157" s="6">
        <f t="shared" si="21"/>
        <v>27.907875010638367</v>
      </c>
      <c r="G157" s="6">
        <f t="shared" si="22"/>
        <v>23.86214154169955</v>
      </c>
      <c r="H157" s="6">
        <f aca="true" t="shared" si="24" ref="H157:H164">B157-D157</f>
        <v>11012</v>
      </c>
      <c r="I157" s="6">
        <f t="shared" si="23"/>
        <v>13601.800000000001</v>
      </c>
      <c r="K157" s="46"/>
      <c r="L157" s="46"/>
    </row>
    <row r="158" spans="1:12" ht="18.75">
      <c r="A158" s="23" t="s">
        <v>60</v>
      </c>
      <c r="B158" s="88">
        <f>196197.7-160+30159.4-2140-37856.7-150</f>
        <v>186050.40000000002</v>
      </c>
      <c r="C158" s="67">
        <f>213607.5+29882.9-2140-37856.7-150</f>
        <v>203343.7</v>
      </c>
      <c r="D158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</f>
        <v>42298.00000000002</v>
      </c>
      <c r="E158" s="6"/>
      <c r="F158" s="6">
        <f t="shared" si="21"/>
        <v>22.734699844773253</v>
      </c>
      <c r="G158" s="6">
        <f t="shared" si="22"/>
        <v>20.80123456000851</v>
      </c>
      <c r="H158" s="6">
        <f t="shared" si="24"/>
        <v>143752.4</v>
      </c>
      <c r="I158" s="6">
        <f t="shared" si="23"/>
        <v>161045.69999999998</v>
      </c>
      <c r="K158" s="46"/>
      <c r="L158" s="46"/>
    </row>
    <row r="159" spans="1:12" ht="37.5">
      <c r="A159" s="23" t="s">
        <v>69</v>
      </c>
      <c r="B159" s="88">
        <f>409.4+2140</f>
        <v>2549.4</v>
      </c>
      <c r="C159" s="67">
        <f>509.4+2140</f>
        <v>2649.4</v>
      </c>
      <c r="D159" s="67">
        <f>309.4+300</f>
        <v>609.4</v>
      </c>
      <c r="E159" s="6"/>
      <c r="F159" s="6">
        <f t="shared" si="21"/>
        <v>23.903663607123242</v>
      </c>
      <c r="G159" s="6">
        <f t="shared" si="22"/>
        <v>23.001434287008376</v>
      </c>
      <c r="H159" s="6">
        <f t="shared" si="24"/>
        <v>1940</v>
      </c>
      <c r="I159" s="6">
        <f t="shared" si="23"/>
        <v>2040</v>
      </c>
      <c r="K159" s="46"/>
      <c r="L159" s="46"/>
    </row>
    <row r="160" spans="1:12" ht="18.75">
      <c r="A160" s="23" t="s">
        <v>13</v>
      </c>
      <c r="B160" s="88">
        <v>13310.4</v>
      </c>
      <c r="C160" s="67">
        <f>54+13623.4</f>
        <v>13677.4</v>
      </c>
      <c r="D160" s="67">
        <f>5.2+5.1+225.1+114.9+40.2+5.2+4.6+89.9+13.6+4.1+10.7+98.5+1634+39+1.7-40.2+1.3+4.6+3.7+91</f>
        <v>2352.2000000000003</v>
      </c>
      <c r="E160" s="19"/>
      <c r="F160" s="6">
        <f t="shared" si="21"/>
        <v>17.671895660536123</v>
      </c>
      <c r="G160" s="6">
        <f t="shared" si="22"/>
        <v>17.197713015631628</v>
      </c>
      <c r="H160" s="6">
        <f t="shared" si="24"/>
        <v>10958.199999999999</v>
      </c>
      <c r="I160" s="6">
        <f t="shared" si="23"/>
        <v>11325.199999999999</v>
      </c>
      <c r="K160" s="46"/>
      <c r="L160" s="46"/>
    </row>
    <row r="161" spans="1:12" ht="18.75" hidden="1">
      <c r="A161" s="23" t="s">
        <v>26</v>
      </c>
      <c r="B161" s="88"/>
      <c r="C161" s="67"/>
      <c r="D161" s="67"/>
      <c r="E161" s="19"/>
      <c r="F161" s="6" t="e">
        <f>D161/B161*100</f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9" ht="18.75">
      <c r="A162" s="23" t="s">
        <v>52</v>
      </c>
      <c r="B162" s="88">
        <v>1053.5</v>
      </c>
      <c r="C162" s="67">
        <f>1212+158.6</f>
        <v>1370.6</v>
      </c>
      <c r="D162" s="67">
        <f>15.4+25.9+416.9+18.7+17.6</f>
        <v>494.5</v>
      </c>
      <c r="E162" s="19"/>
      <c r="F162" s="6">
        <f>D162/B162*100</f>
        <v>46.93877551020408</v>
      </c>
      <c r="G162" s="6">
        <f t="shared" si="22"/>
        <v>36.079089449875966</v>
      </c>
      <c r="H162" s="6">
        <f t="shared" si="24"/>
        <v>559</v>
      </c>
      <c r="I162" s="6">
        <f t="shared" si="23"/>
        <v>876.0999999999999</v>
      </c>
    </row>
    <row r="163" spans="1:9" ht="19.5" customHeight="1">
      <c r="A163" s="23" t="s">
        <v>67</v>
      </c>
      <c r="B163" s="88">
        <v>307.6</v>
      </c>
      <c r="C163" s="67">
        <v>307.6</v>
      </c>
      <c r="D163" s="67"/>
      <c r="E163" s="19"/>
      <c r="F163" s="6">
        <f>D163/B163*100</f>
        <v>0</v>
      </c>
      <c r="G163" s="6">
        <f t="shared" si="22"/>
        <v>0</v>
      </c>
      <c r="H163" s="6">
        <f t="shared" si="24"/>
        <v>307.6</v>
      </c>
      <c r="I163" s="6">
        <f t="shared" si="23"/>
        <v>307.6</v>
      </c>
    </row>
    <row r="164" spans="1:9" ht="19.5" thickBot="1">
      <c r="A164" s="23" t="s">
        <v>61</v>
      </c>
      <c r="B164" s="88">
        <v>3718.8</v>
      </c>
      <c r="C164" s="89">
        <v>3718.8</v>
      </c>
      <c r="D164" s="89">
        <f>98.8+11.3+146.1+110.9-0.1+10.1+85.3+20.5+418+104.6+257.6+46.9+315.7+1.5+1.4+47.1+128.3+440+24.2+62.6+0.1+90.4+1.3+111.4+230.8+4.4+180+41.1+64.6+325</f>
        <v>3379.9</v>
      </c>
      <c r="E164" s="24"/>
      <c r="F164" s="6">
        <f>D164/B164*100</f>
        <v>90.88684521888781</v>
      </c>
      <c r="G164" s="6">
        <f t="shared" si="22"/>
        <v>90.88684521888781</v>
      </c>
      <c r="H164" s="6">
        <f t="shared" si="24"/>
        <v>338.9000000000001</v>
      </c>
      <c r="I164" s="6">
        <f t="shared" si="23"/>
        <v>338.9000000000001</v>
      </c>
    </row>
    <row r="165" spans="1:9" ht="19.5" thickBot="1">
      <c r="A165" s="14" t="s">
        <v>20</v>
      </c>
      <c r="B165" s="90">
        <f>B148+B156+B160+B161+B157+B164+B163+B158+B162+B159</f>
        <v>971534.5000000001</v>
      </c>
      <c r="C165" s="90">
        <f>C148+C156+C160+C161+C157+C164+C163+C158+C162+C159</f>
        <v>1244103.6</v>
      </c>
      <c r="D165" s="90">
        <f>D148+D156+D160+D161+D157+D164+D163+D158+D162+D159</f>
        <v>716915.3069999999</v>
      </c>
      <c r="E165" s="25"/>
      <c r="F165" s="3">
        <f>D165/B165*100</f>
        <v>73.7920585424398</v>
      </c>
      <c r="G165" s="3">
        <f t="shared" si="22"/>
        <v>57.62504883033856</v>
      </c>
      <c r="H165" s="3">
        <f>B165-D165</f>
        <v>254619.1930000002</v>
      </c>
      <c r="I165" s="3">
        <f t="shared" si="23"/>
        <v>527188.2930000002</v>
      </c>
    </row>
    <row r="166" spans="7:8" ht="12.75">
      <c r="G166" s="26"/>
      <c r="H166" s="26"/>
    </row>
    <row r="167" spans="7:9" ht="12.75">
      <c r="G167" s="26"/>
      <c r="H167" s="26"/>
      <c r="I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975443.2000000002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655569.9069999999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975443.2000000002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655569.9069999999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2015-09-02T11:19:39Z</cp:lastPrinted>
  <dcterms:created xsi:type="dcterms:W3CDTF">2000-06-20T04:48:00Z</dcterms:created>
  <dcterms:modified xsi:type="dcterms:W3CDTF">2015-09-25T05:07:43Z</dcterms:modified>
  <cp:category/>
  <cp:version/>
  <cp:contentType/>
  <cp:contentStatus/>
</cp:coreProperties>
</file>